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440" windowHeight="12645" activeTab="5"/>
  </bookViews>
  <sheets>
    <sheet name="CT13" sheetId="9" r:id="rId1"/>
    <sheet name="CT14" sheetId="10" r:id="rId2"/>
    <sheet name="CT15" sheetId="11" r:id="rId3"/>
    <sheet name="CT16" sheetId="12" r:id="rId4"/>
    <sheet name="CT18" sheetId="13" r:id="rId5"/>
    <sheet name="CT17" sheetId="1" r:id="rId6"/>
    <sheet name="Graphs" sheetId="6" r:id="rId7"/>
    <sheet name="Sheet1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3" i="1" l="1"/>
  <c r="X23" i="1"/>
  <c r="Y17" i="1"/>
  <c r="Z17" i="1" s="1"/>
  <c r="Y18" i="1"/>
  <c r="Z18" i="1"/>
  <c r="Y19" i="1"/>
  <c r="Z19" i="1" s="1"/>
  <c r="Y20" i="1"/>
  <c r="Z20" i="1"/>
  <c r="Y21" i="1"/>
  <c r="Z21" i="1" s="1"/>
  <c r="Y22" i="1"/>
  <c r="Z22" i="1"/>
  <c r="Z16" i="1"/>
  <c r="Y16" i="1"/>
  <c r="Y15" i="1"/>
  <c r="Z15" i="1" s="1"/>
  <c r="Z14" i="1"/>
  <c r="Y14" i="1"/>
  <c r="Y13" i="1"/>
  <c r="Z13" i="1" s="1"/>
  <c r="Z12" i="1"/>
  <c r="Y12" i="1"/>
  <c r="Y11" i="1"/>
  <c r="Z11" i="1" s="1"/>
  <c r="Z10" i="1"/>
  <c r="Y10" i="1"/>
  <c r="Y9" i="1"/>
  <c r="Z9" i="1" s="1"/>
  <c r="Z8" i="1"/>
  <c r="Y8" i="1"/>
  <c r="Y7" i="1"/>
  <c r="Z7" i="1" s="1"/>
  <c r="Z6" i="1"/>
  <c r="Y6" i="1"/>
  <c r="Y5" i="1"/>
  <c r="Z5" i="1" s="1"/>
  <c r="Z4" i="1"/>
  <c r="Y4" i="1"/>
  <c r="Y3" i="1"/>
  <c r="Z3" i="1" s="1"/>
  <c r="Z2" i="1"/>
  <c r="Y2" i="1"/>
  <c r="J18" i="1"/>
  <c r="J19" i="1"/>
  <c r="J20" i="1"/>
  <c r="J21" i="1"/>
  <c r="J22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H19" i="1"/>
  <c r="H17" i="1"/>
  <c r="H13" i="1"/>
  <c r="H9" i="1"/>
  <c r="H5" i="1"/>
  <c r="F18" i="1"/>
  <c r="H18" i="1" s="1"/>
  <c r="F19" i="1"/>
  <c r="F20" i="1"/>
  <c r="H20" i="1" s="1"/>
  <c r="F21" i="1"/>
  <c r="H21" i="1" s="1"/>
  <c r="F22" i="1"/>
  <c r="H22" i="1" s="1"/>
  <c r="F17" i="1"/>
  <c r="F16" i="1"/>
  <c r="H16" i="1" s="1"/>
  <c r="F15" i="1"/>
  <c r="H15" i="1" s="1"/>
  <c r="F14" i="1"/>
  <c r="H14" i="1" s="1"/>
  <c r="F13" i="1"/>
  <c r="F12" i="1"/>
  <c r="H12" i="1" s="1"/>
  <c r="F11" i="1"/>
  <c r="H11" i="1" s="1"/>
  <c r="F10" i="1"/>
  <c r="H10" i="1" s="1"/>
  <c r="F9" i="1"/>
  <c r="F8" i="1"/>
  <c r="H8" i="1" s="1"/>
  <c r="F7" i="1"/>
  <c r="H7" i="1" s="1"/>
  <c r="F6" i="1"/>
  <c r="H6" i="1" s="1"/>
  <c r="F5" i="1"/>
  <c r="F4" i="1"/>
  <c r="H4" i="1" s="1"/>
  <c r="F3" i="1"/>
  <c r="H3" i="1" s="1"/>
  <c r="F2" i="1"/>
  <c r="H2" i="1" s="1"/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E9" i="1"/>
  <c r="AB13" i="1" s="1"/>
  <c r="AE3" i="1"/>
  <c r="AA2" i="1"/>
  <c r="AB9" i="1" l="1"/>
  <c r="AB11" i="1"/>
  <c r="AB6" i="1"/>
  <c r="AB19" i="1"/>
  <c r="AB7" i="1"/>
  <c r="AB21" i="1"/>
  <c r="AB5" i="1"/>
  <c r="AB14" i="1"/>
  <c r="AB17" i="1"/>
  <c r="AB15" i="1"/>
  <c r="AB3" i="1"/>
  <c r="AB18" i="1"/>
  <c r="AB10" i="1"/>
  <c r="AB20" i="1"/>
  <c r="AB16" i="1"/>
  <c r="AB12" i="1"/>
  <c r="AB8" i="1"/>
  <c r="AB4" i="1"/>
  <c r="AB2" i="1"/>
  <c r="F17" i="13" l="1"/>
  <c r="E17" i="13"/>
  <c r="G16" i="13"/>
  <c r="J16" i="13" s="1"/>
  <c r="N16" i="13" s="1"/>
  <c r="F16" i="13"/>
  <c r="E16" i="13"/>
  <c r="F15" i="13"/>
  <c r="E15" i="13"/>
  <c r="G14" i="13"/>
  <c r="J14" i="13" s="1"/>
  <c r="N14" i="13" s="1"/>
  <c r="F14" i="13"/>
  <c r="E14" i="13"/>
  <c r="F13" i="13"/>
  <c r="E13" i="13"/>
  <c r="G12" i="13"/>
  <c r="J12" i="13" s="1"/>
  <c r="N12" i="13" s="1"/>
  <c r="F12" i="13"/>
  <c r="E12" i="13"/>
  <c r="F11" i="13"/>
  <c r="E11" i="13"/>
  <c r="G10" i="13"/>
  <c r="J10" i="13" s="1"/>
  <c r="N10" i="13" s="1"/>
  <c r="F10" i="13"/>
  <c r="E10" i="13"/>
  <c r="F9" i="13"/>
  <c r="E9" i="13"/>
  <c r="G8" i="13"/>
  <c r="J8" i="13" s="1"/>
  <c r="N8" i="13" s="1"/>
  <c r="F8" i="13"/>
  <c r="E8" i="13"/>
  <c r="F7" i="13"/>
  <c r="E7" i="13"/>
  <c r="G6" i="13"/>
  <c r="J6" i="13" s="1"/>
  <c r="N6" i="13" s="1"/>
  <c r="F6" i="13"/>
  <c r="E6" i="13"/>
  <c r="F5" i="13"/>
  <c r="E5" i="13"/>
  <c r="G4" i="13"/>
  <c r="J4" i="13" s="1"/>
  <c r="N4" i="13" s="1"/>
  <c r="F4" i="13"/>
  <c r="E4" i="13"/>
  <c r="R3" i="13"/>
  <c r="G17" i="13" s="1"/>
  <c r="F3" i="13"/>
  <c r="G3" i="13" s="1"/>
  <c r="E3" i="13"/>
  <c r="J2" i="13"/>
  <c r="N2" i="13" s="1"/>
  <c r="G2" i="13"/>
  <c r="F2" i="13"/>
  <c r="E2" i="13"/>
  <c r="G17" i="12"/>
  <c r="J17" i="12" s="1"/>
  <c r="N17" i="12" s="1"/>
  <c r="K17" i="12" s="1"/>
  <c r="M17" i="12" s="1"/>
  <c r="L17" i="12" s="1"/>
  <c r="F17" i="12"/>
  <c r="E17" i="12"/>
  <c r="P16" i="12"/>
  <c r="K16" i="12"/>
  <c r="M16" i="12" s="1"/>
  <c r="L16" i="12" s="1"/>
  <c r="F16" i="12"/>
  <c r="G16" i="12" s="1"/>
  <c r="E16" i="12"/>
  <c r="J16" i="12" s="1"/>
  <c r="N16" i="12" s="1"/>
  <c r="G15" i="12"/>
  <c r="J15" i="12" s="1"/>
  <c r="N15" i="12" s="1"/>
  <c r="F15" i="12"/>
  <c r="E15" i="12"/>
  <c r="P14" i="12"/>
  <c r="K14" i="12"/>
  <c r="M14" i="12" s="1"/>
  <c r="L14" i="12" s="1"/>
  <c r="F14" i="12"/>
  <c r="G14" i="12" s="1"/>
  <c r="E14" i="12"/>
  <c r="J14" i="12" s="1"/>
  <c r="N14" i="12" s="1"/>
  <c r="G13" i="12"/>
  <c r="J13" i="12" s="1"/>
  <c r="N13" i="12" s="1"/>
  <c r="F13" i="12"/>
  <c r="E13" i="12"/>
  <c r="P12" i="12"/>
  <c r="K12" i="12"/>
  <c r="M12" i="12" s="1"/>
  <c r="L12" i="12" s="1"/>
  <c r="F12" i="12"/>
  <c r="G12" i="12" s="1"/>
  <c r="E12" i="12"/>
  <c r="J12" i="12" s="1"/>
  <c r="N12" i="12" s="1"/>
  <c r="G11" i="12"/>
  <c r="J11" i="12" s="1"/>
  <c r="N11" i="12" s="1"/>
  <c r="F11" i="12"/>
  <c r="E11" i="12"/>
  <c r="P10" i="12"/>
  <c r="K10" i="12"/>
  <c r="M10" i="12" s="1"/>
  <c r="L10" i="12" s="1"/>
  <c r="F10" i="12"/>
  <c r="G10" i="12" s="1"/>
  <c r="E10" i="12"/>
  <c r="J10" i="12" s="1"/>
  <c r="N10" i="12" s="1"/>
  <c r="G9" i="12"/>
  <c r="J9" i="12" s="1"/>
  <c r="N9" i="12" s="1"/>
  <c r="F9" i="12"/>
  <c r="E9" i="12"/>
  <c r="P8" i="12"/>
  <c r="K8" i="12"/>
  <c r="M8" i="12" s="1"/>
  <c r="L8" i="12" s="1"/>
  <c r="F8" i="12"/>
  <c r="G8" i="12" s="1"/>
  <c r="E8" i="12"/>
  <c r="J8" i="12" s="1"/>
  <c r="N8" i="12" s="1"/>
  <c r="G7" i="12"/>
  <c r="J7" i="12" s="1"/>
  <c r="N7" i="12" s="1"/>
  <c r="F7" i="12"/>
  <c r="E7" i="12"/>
  <c r="F6" i="12"/>
  <c r="G6" i="12" s="1"/>
  <c r="E6" i="12"/>
  <c r="J6" i="12" s="1"/>
  <c r="N6" i="12" s="1"/>
  <c r="K6" i="12" s="1"/>
  <c r="M6" i="12" s="1"/>
  <c r="L6" i="12" s="1"/>
  <c r="G5" i="12"/>
  <c r="J5" i="12" s="1"/>
  <c r="N5" i="12" s="1"/>
  <c r="F5" i="12"/>
  <c r="E5" i="12"/>
  <c r="F4" i="12"/>
  <c r="G4" i="12" s="1"/>
  <c r="E4" i="12"/>
  <c r="J4" i="12" s="1"/>
  <c r="N4" i="12" s="1"/>
  <c r="K4" i="12" s="1"/>
  <c r="M4" i="12" s="1"/>
  <c r="L4" i="12" s="1"/>
  <c r="R3" i="12"/>
  <c r="J3" i="12"/>
  <c r="N3" i="12" s="1"/>
  <c r="F3" i="12"/>
  <c r="G3" i="12" s="1"/>
  <c r="E3" i="12"/>
  <c r="F2" i="12"/>
  <c r="G2" i="12" s="1"/>
  <c r="J2" i="12" s="1"/>
  <c r="N2" i="12" s="1"/>
  <c r="E2" i="12"/>
  <c r="G17" i="11"/>
  <c r="J17" i="11" s="1"/>
  <c r="N17" i="11" s="1"/>
  <c r="K17" i="11" s="1"/>
  <c r="M17" i="11" s="1"/>
  <c r="L17" i="11" s="1"/>
  <c r="F17" i="11"/>
  <c r="E17" i="11"/>
  <c r="K16" i="11"/>
  <c r="M16" i="11" s="1"/>
  <c r="L16" i="11" s="1"/>
  <c r="F16" i="11"/>
  <c r="G16" i="11" s="1"/>
  <c r="E16" i="11"/>
  <c r="J16" i="11" s="1"/>
  <c r="N16" i="11" s="1"/>
  <c r="P16" i="11" s="1"/>
  <c r="G15" i="11"/>
  <c r="J15" i="11" s="1"/>
  <c r="N15" i="11" s="1"/>
  <c r="F15" i="11"/>
  <c r="E15" i="11"/>
  <c r="K14" i="11"/>
  <c r="M14" i="11" s="1"/>
  <c r="L14" i="11" s="1"/>
  <c r="F14" i="11"/>
  <c r="G14" i="11" s="1"/>
  <c r="E14" i="11"/>
  <c r="J14" i="11" s="1"/>
  <c r="N14" i="11" s="1"/>
  <c r="P14" i="11" s="1"/>
  <c r="G13" i="11"/>
  <c r="J13" i="11" s="1"/>
  <c r="N13" i="11" s="1"/>
  <c r="F13" i="11"/>
  <c r="E13" i="11"/>
  <c r="K12" i="11"/>
  <c r="M12" i="11" s="1"/>
  <c r="L12" i="11" s="1"/>
  <c r="F12" i="11"/>
  <c r="G12" i="11" s="1"/>
  <c r="E12" i="11"/>
  <c r="J12" i="11" s="1"/>
  <c r="N12" i="11" s="1"/>
  <c r="P12" i="11" s="1"/>
  <c r="G11" i="11"/>
  <c r="J11" i="11" s="1"/>
  <c r="N11" i="11" s="1"/>
  <c r="F11" i="11"/>
  <c r="E11" i="11"/>
  <c r="K10" i="11"/>
  <c r="M10" i="11" s="1"/>
  <c r="L10" i="11" s="1"/>
  <c r="F10" i="11"/>
  <c r="G10" i="11" s="1"/>
  <c r="E10" i="11"/>
  <c r="J10" i="11" s="1"/>
  <c r="N10" i="11" s="1"/>
  <c r="P10" i="11" s="1"/>
  <c r="G9" i="11"/>
  <c r="J9" i="11" s="1"/>
  <c r="N9" i="11" s="1"/>
  <c r="F9" i="11"/>
  <c r="E9" i="11"/>
  <c r="K8" i="11"/>
  <c r="M8" i="11" s="1"/>
  <c r="L8" i="11" s="1"/>
  <c r="F8" i="11"/>
  <c r="G8" i="11" s="1"/>
  <c r="E8" i="11"/>
  <c r="J8" i="11" s="1"/>
  <c r="N8" i="11" s="1"/>
  <c r="P8" i="11" s="1"/>
  <c r="G7" i="11"/>
  <c r="J7" i="11" s="1"/>
  <c r="N7" i="11" s="1"/>
  <c r="F7" i="11"/>
  <c r="E7" i="11"/>
  <c r="K6" i="11"/>
  <c r="M6" i="11" s="1"/>
  <c r="L6" i="11" s="1"/>
  <c r="F6" i="11"/>
  <c r="G6" i="11" s="1"/>
  <c r="E6" i="11"/>
  <c r="J6" i="11" s="1"/>
  <c r="N6" i="11" s="1"/>
  <c r="P6" i="11" s="1"/>
  <c r="G5" i="11"/>
  <c r="J5" i="11" s="1"/>
  <c r="N5" i="11" s="1"/>
  <c r="F5" i="11"/>
  <c r="E5" i="11"/>
  <c r="K4" i="11"/>
  <c r="M4" i="11" s="1"/>
  <c r="L4" i="11" s="1"/>
  <c r="F4" i="11"/>
  <c r="G4" i="11" s="1"/>
  <c r="E4" i="11"/>
  <c r="J4" i="11" s="1"/>
  <c r="N4" i="11" s="1"/>
  <c r="P4" i="11" s="1"/>
  <c r="R3" i="11"/>
  <c r="F3" i="11"/>
  <c r="G3" i="11" s="1"/>
  <c r="E3" i="11"/>
  <c r="J3" i="11" s="1"/>
  <c r="N3" i="11" s="1"/>
  <c r="F2" i="11"/>
  <c r="G2" i="11" s="1"/>
  <c r="J2" i="11" s="1"/>
  <c r="N2" i="11" s="1"/>
  <c r="E2" i="11"/>
  <c r="G17" i="10"/>
  <c r="J17" i="10" s="1"/>
  <c r="N17" i="10" s="1"/>
  <c r="K17" i="10" s="1"/>
  <c r="M17" i="10" s="1"/>
  <c r="L17" i="10" s="1"/>
  <c r="F17" i="10"/>
  <c r="E17" i="10"/>
  <c r="P16" i="10"/>
  <c r="K16" i="10"/>
  <c r="M16" i="10" s="1"/>
  <c r="L16" i="10" s="1"/>
  <c r="F16" i="10"/>
  <c r="G16" i="10" s="1"/>
  <c r="E16" i="10"/>
  <c r="J16" i="10" s="1"/>
  <c r="N16" i="10" s="1"/>
  <c r="G15" i="10"/>
  <c r="J15" i="10" s="1"/>
  <c r="N15" i="10" s="1"/>
  <c r="F15" i="10"/>
  <c r="E15" i="10"/>
  <c r="P14" i="10"/>
  <c r="K14" i="10"/>
  <c r="M14" i="10" s="1"/>
  <c r="L14" i="10" s="1"/>
  <c r="F14" i="10"/>
  <c r="G14" i="10" s="1"/>
  <c r="E14" i="10"/>
  <c r="J14" i="10" s="1"/>
  <c r="N14" i="10" s="1"/>
  <c r="G13" i="10"/>
  <c r="J13" i="10" s="1"/>
  <c r="N13" i="10" s="1"/>
  <c r="F13" i="10"/>
  <c r="E13" i="10"/>
  <c r="P12" i="10"/>
  <c r="K12" i="10"/>
  <c r="M12" i="10" s="1"/>
  <c r="L12" i="10" s="1"/>
  <c r="F12" i="10"/>
  <c r="G12" i="10" s="1"/>
  <c r="E12" i="10"/>
  <c r="J12" i="10" s="1"/>
  <c r="N12" i="10" s="1"/>
  <c r="G11" i="10"/>
  <c r="J11" i="10" s="1"/>
  <c r="N11" i="10" s="1"/>
  <c r="F11" i="10"/>
  <c r="E11" i="10"/>
  <c r="P10" i="10"/>
  <c r="K10" i="10"/>
  <c r="M10" i="10" s="1"/>
  <c r="L10" i="10" s="1"/>
  <c r="F10" i="10"/>
  <c r="G10" i="10" s="1"/>
  <c r="E10" i="10"/>
  <c r="J10" i="10" s="1"/>
  <c r="N10" i="10" s="1"/>
  <c r="G9" i="10"/>
  <c r="J9" i="10" s="1"/>
  <c r="N9" i="10" s="1"/>
  <c r="F9" i="10"/>
  <c r="E9" i="10"/>
  <c r="P8" i="10"/>
  <c r="K8" i="10"/>
  <c r="M8" i="10" s="1"/>
  <c r="L8" i="10" s="1"/>
  <c r="F8" i="10"/>
  <c r="G8" i="10" s="1"/>
  <c r="E8" i="10"/>
  <c r="J8" i="10" s="1"/>
  <c r="N8" i="10" s="1"/>
  <c r="G7" i="10"/>
  <c r="J7" i="10" s="1"/>
  <c r="N7" i="10" s="1"/>
  <c r="F7" i="10"/>
  <c r="E7" i="10"/>
  <c r="F6" i="10"/>
  <c r="G6" i="10" s="1"/>
  <c r="E6" i="10"/>
  <c r="J6" i="10" s="1"/>
  <c r="N6" i="10" s="1"/>
  <c r="K6" i="10" s="1"/>
  <c r="M6" i="10" s="1"/>
  <c r="L6" i="10" s="1"/>
  <c r="G5" i="10"/>
  <c r="J5" i="10" s="1"/>
  <c r="N5" i="10" s="1"/>
  <c r="F5" i="10"/>
  <c r="E5" i="10"/>
  <c r="F4" i="10"/>
  <c r="G4" i="10" s="1"/>
  <c r="E4" i="10"/>
  <c r="J4" i="10" s="1"/>
  <c r="N4" i="10" s="1"/>
  <c r="K4" i="10" s="1"/>
  <c r="M4" i="10" s="1"/>
  <c r="L4" i="10" s="1"/>
  <c r="R3" i="10"/>
  <c r="J3" i="10"/>
  <c r="N3" i="10" s="1"/>
  <c r="F3" i="10"/>
  <c r="G3" i="10" s="1"/>
  <c r="E3" i="10"/>
  <c r="F2" i="10"/>
  <c r="G2" i="10" s="1"/>
  <c r="J2" i="10" s="1"/>
  <c r="N2" i="10" s="1"/>
  <c r="E2" i="10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G6" i="9"/>
  <c r="J6" i="9" s="1"/>
  <c r="N6" i="9" s="1"/>
  <c r="F6" i="9"/>
  <c r="E6" i="9"/>
  <c r="F5" i="9"/>
  <c r="E5" i="9"/>
  <c r="G4" i="9"/>
  <c r="J4" i="9" s="1"/>
  <c r="N4" i="9" s="1"/>
  <c r="F4" i="9"/>
  <c r="E4" i="9"/>
  <c r="W3" i="9"/>
  <c r="F3" i="9"/>
  <c r="G3" i="9" s="1"/>
  <c r="J3" i="9" s="1"/>
  <c r="N3" i="9" s="1"/>
  <c r="E3" i="9"/>
  <c r="F2" i="9"/>
  <c r="E2" i="9"/>
  <c r="P4" i="13" l="1"/>
  <c r="K4" i="13"/>
  <c r="M4" i="13" s="1"/>
  <c r="L4" i="13" s="1"/>
  <c r="P12" i="13"/>
  <c r="K12" i="13"/>
  <c r="M12" i="13" s="1"/>
  <c r="L12" i="13" s="1"/>
  <c r="J5" i="13"/>
  <c r="N5" i="13" s="1"/>
  <c r="P6" i="13"/>
  <c r="K6" i="13"/>
  <c r="M6" i="13" s="1"/>
  <c r="L6" i="13" s="1"/>
  <c r="P14" i="13"/>
  <c r="K14" i="13"/>
  <c r="M14" i="13" s="1"/>
  <c r="L14" i="13" s="1"/>
  <c r="P2" i="13"/>
  <c r="K2" i="13"/>
  <c r="M2" i="13" s="1"/>
  <c r="L2" i="13" s="1"/>
  <c r="P8" i="13"/>
  <c r="K8" i="13"/>
  <c r="M8" i="13" s="1"/>
  <c r="L8" i="13" s="1"/>
  <c r="P16" i="13"/>
  <c r="K16" i="13"/>
  <c r="M16" i="13" s="1"/>
  <c r="L16" i="13" s="1"/>
  <c r="J3" i="13"/>
  <c r="N3" i="13" s="1"/>
  <c r="P10" i="13"/>
  <c r="K10" i="13"/>
  <c r="M10" i="13" s="1"/>
  <c r="L10" i="13" s="1"/>
  <c r="J17" i="13"/>
  <c r="N17" i="13" s="1"/>
  <c r="K17" i="13" s="1"/>
  <c r="M17" i="13" s="1"/>
  <c r="L17" i="13" s="1"/>
  <c r="G5" i="13"/>
  <c r="G7" i="13"/>
  <c r="J7" i="13" s="1"/>
  <c r="N7" i="13" s="1"/>
  <c r="G9" i="13"/>
  <c r="J9" i="13" s="1"/>
  <c r="N9" i="13" s="1"/>
  <c r="G11" i="13"/>
  <c r="J11" i="13" s="1"/>
  <c r="N11" i="13" s="1"/>
  <c r="G13" i="13"/>
  <c r="J13" i="13" s="1"/>
  <c r="N13" i="13" s="1"/>
  <c r="G15" i="13"/>
  <c r="J15" i="13" s="1"/>
  <c r="N15" i="13" s="1"/>
  <c r="P2" i="12"/>
  <c r="K2" i="12"/>
  <c r="M2" i="12" s="1"/>
  <c r="L2" i="12" s="1"/>
  <c r="P5" i="12"/>
  <c r="K5" i="12"/>
  <c r="M5" i="12" s="1"/>
  <c r="L5" i="12" s="1"/>
  <c r="P3" i="12"/>
  <c r="K3" i="12"/>
  <c r="M3" i="12" s="1"/>
  <c r="L3" i="12" s="1"/>
  <c r="P7" i="12"/>
  <c r="K7" i="12"/>
  <c r="M7" i="12" s="1"/>
  <c r="L7" i="12" s="1"/>
  <c r="P9" i="12"/>
  <c r="K9" i="12"/>
  <c r="M9" i="12" s="1"/>
  <c r="L9" i="12" s="1"/>
  <c r="P11" i="12"/>
  <c r="K11" i="12"/>
  <c r="M11" i="12" s="1"/>
  <c r="L11" i="12" s="1"/>
  <c r="P13" i="12"/>
  <c r="K13" i="12"/>
  <c r="M13" i="12" s="1"/>
  <c r="L13" i="12" s="1"/>
  <c r="P15" i="12"/>
  <c r="K15" i="12"/>
  <c r="M15" i="12" s="1"/>
  <c r="L15" i="12" s="1"/>
  <c r="P4" i="12"/>
  <c r="P6" i="12"/>
  <c r="P2" i="11"/>
  <c r="K2" i="11"/>
  <c r="M2" i="11" s="1"/>
  <c r="L2" i="11" s="1"/>
  <c r="P3" i="11"/>
  <c r="K3" i="11"/>
  <c r="M3" i="11" s="1"/>
  <c r="L3" i="11" s="1"/>
  <c r="P5" i="11"/>
  <c r="K5" i="11"/>
  <c r="M5" i="11" s="1"/>
  <c r="L5" i="11" s="1"/>
  <c r="P7" i="11"/>
  <c r="K7" i="11"/>
  <c r="M7" i="11" s="1"/>
  <c r="L7" i="11" s="1"/>
  <c r="P9" i="11"/>
  <c r="K9" i="11"/>
  <c r="M9" i="11" s="1"/>
  <c r="L9" i="11" s="1"/>
  <c r="P11" i="11"/>
  <c r="K11" i="11"/>
  <c r="M11" i="11" s="1"/>
  <c r="L11" i="11" s="1"/>
  <c r="P13" i="11"/>
  <c r="K13" i="11"/>
  <c r="M13" i="11" s="1"/>
  <c r="L13" i="11" s="1"/>
  <c r="P15" i="11"/>
  <c r="K15" i="11"/>
  <c r="M15" i="11" s="1"/>
  <c r="L15" i="11" s="1"/>
  <c r="P2" i="10"/>
  <c r="K2" i="10"/>
  <c r="M2" i="10" s="1"/>
  <c r="L2" i="10" s="1"/>
  <c r="P5" i="10"/>
  <c r="K5" i="10"/>
  <c r="M5" i="10" s="1"/>
  <c r="L5" i="10" s="1"/>
  <c r="P3" i="10"/>
  <c r="K3" i="10"/>
  <c r="M3" i="10" s="1"/>
  <c r="L3" i="10" s="1"/>
  <c r="P7" i="10"/>
  <c r="K7" i="10"/>
  <c r="M7" i="10" s="1"/>
  <c r="L7" i="10" s="1"/>
  <c r="P9" i="10"/>
  <c r="K9" i="10"/>
  <c r="M9" i="10" s="1"/>
  <c r="L9" i="10" s="1"/>
  <c r="P11" i="10"/>
  <c r="K11" i="10"/>
  <c r="M11" i="10" s="1"/>
  <c r="L11" i="10" s="1"/>
  <c r="P13" i="10"/>
  <c r="K13" i="10"/>
  <c r="M13" i="10" s="1"/>
  <c r="L13" i="10" s="1"/>
  <c r="P15" i="10"/>
  <c r="K15" i="10"/>
  <c r="M15" i="10" s="1"/>
  <c r="L15" i="10" s="1"/>
  <c r="P4" i="10"/>
  <c r="P6" i="10"/>
  <c r="P6" i="9"/>
  <c r="K6" i="9"/>
  <c r="M6" i="9" s="1"/>
  <c r="L6" i="9" s="1"/>
  <c r="P3" i="9"/>
  <c r="K3" i="9"/>
  <c r="M3" i="9" s="1"/>
  <c r="L3" i="9" s="1"/>
  <c r="P4" i="9"/>
  <c r="K4" i="9"/>
  <c r="M4" i="9" s="1"/>
  <c r="L4" i="9" s="1"/>
  <c r="J9" i="9"/>
  <c r="N9" i="9" s="1"/>
  <c r="J17" i="9"/>
  <c r="N17" i="9" s="1"/>
  <c r="K17" i="9" s="1"/>
  <c r="M17" i="9" s="1"/>
  <c r="L17" i="9" s="1"/>
  <c r="G2" i="9"/>
  <c r="J2" i="9" s="1"/>
  <c r="N2" i="9" s="1"/>
  <c r="G17" i="9"/>
  <c r="G15" i="9"/>
  <c r="J15" i="9" s="1"/>
  <c r="N15" i="9" s="1"/>
  <c r="G13" i="9"/>
  <c r="J13" i="9" s="1"/>
  <c r="N13" i="9" s="1"/>
  <c r="G11" i="9"/>
  <c r="J11" i="9" s="1"/>
  <c r="N11" i="9" s="1"/>
  <c r="G9" i="9"/>
  <c r="G7" i="9"/>
  <c r="J7" i="9" s="1"/>
  <c r="N7" i="9" s="1"/>
  <c r="G5" i="9"/>
  <c r="J5" i="9" s="1"/>
  <c r="N5" i="9" s="1"/>
  <c r="G8" i="9"/>
  <c r="J8" i="9" s="1"/>
  <c r="N8" i="9" s="1"/>
  <c r="G10" i="9"/>
  <c r="J10" i="9" s="1"/>
  <c r="N10" i="9" s="1"/>
  <c r="G12" i="9"/>
  <c r="J12" i="9" s="1"/>
  <c r="N12" i="9" s="1"/>
  <c r="G14" i="9"/>
  <c r="J14" i="9" s="1"/>
  <c r="N14" i="9" s="1"/>
  <c r="G16" i="9"/>
  <c r="J16" i="9" s="1"/>
  <c r="N16" i="9" s="1"/>
  <c r="P11" i="13" l="1"/>
  <c r="K11" i="13"/>
  <c r="M11" i="13" s="1"/>
  <c r="L11" i="13" s="1"/>
  <c r="P9" i="13"/>
  <c r="K9" i="13"/>
  <c r="M9" i="13" s="1"/>
  <c r="L9" i="13" s="1"/>
  <c r="P15" i="13"/>
  <c r="K15" i="13"/>
  <c r="M15" i="13" s="1"/>
  <c r="L15" i="13" s="1"/>
  <c r="P7" i="13"/>
  <c r="K7" i="13"/>
  <c r="M7" i="13" s="1"/>
  <c r="L7" i="13" s="1"/>
  <c r="P13" i="13"/>
  <c r="K13" i="13"/>
  <c r="M13" i="13" s="1"/>
  <c r="L13" i="13" s="1"/>
  <c r="P3" i="13"/>
  <c r="K3" i="13"/>
  <c r="M3" i="13" s="1"/>
  <c r="L3" i="13" s="1"/>
  <c r="Q16" i="13"/>
  <c r="Q14" i="13"/>
  <c r="Q8" i="13"/>
  <c r="Q6" i="13"/>
  <c r="Q4" i="13"/>
  <c r="Q3" i="13"/>
  <c r="Q2" i="13"/>
  <c r="Q15" i="13"/>
  <c r="Q9" i="13"/>
  <c r="Q7" i="13"/>
  <c r="P5" i="13"/>
  <c r="Q12" i="13" s="1"/>
  <c r="K5" i="13"/>
  <c r="M5" i="13" s="1"/>
  <c r="L5" i="13" s="1"/>
  <c r="Q15" i="12"/>
  <c r="Q13" i="12"/>
  <c r="Q11" i="12"/>
  <c r="Q9" i="12"/>
  <c r="Q7" i="12"/>
  <c r="Q5" i="12"/>
  <c r="Q3" i="12"/>
  <c r="Q16" i="12"/>
  <c r="Q14" i="12"/>
  <c r="Q12" i="12"/>
  <c r="Q10" i="12"/>
  <c r="Q8" i="12"/>
  <c r="Q6" i="12"/>
  <c r="Q4" i="12"/>
  <c r="Q2" i="12"/>
  <c r="Q8" i="11"/>
  <c r="Q15" i="11"/>
  <c r="Q13" i="11"/>
  <c r="Q11" i="11"/>
  <c r="Q9" i="11"/>
  <c r="Q7" i="11"/>
  <c r="Q5" i="11"/>
  <c r="Q3" i="11"/>
  <c r="Q16" i="11"/>
  <c r="Q14" i="11"/>
  <c r="Q12" i="11"/>
  <c r="Q10" i="11"/>
  <c r="Q6" i="11"/>
  <c r="Q4" i="11"/>
  <c r="Q2" i="11"/>
  <c r="Q15" i="10"/>
  <c r="Q13" i="10"/>
  <c r="Q11" i="10"/>
  <c r="Q9" i="10"/>
  <c r="Q7" i="10"/>
  <c r="Q5" i="10"/>
  <c r="Q3" i="10"/>
  <c r="Q16" i="10"/>
  <c r="Q14" i="10"/>
  <c r="Q12" i="10"/>
  <c r="Q10" i="10"/>
  <c r="Q8" i="10"/>
  <c r="Q6" i="10"/>
  <c r="Q4" i="10"/>
  <c r="Q2" i="10"/>
  <c r="K7" i="9"/>
  <c r="M7" i="9" s="1"/>
  <c r="L7" i="9" s="1"/>
  <c r="P7" i="9"/>
  <c r="K15" i="9"/>
  <c r="M15" i="9" s="1"/>
  <c r="L15" i="9" s="1"/>
  <c r="P15" i="9"/>
  <c r="K11" i="9"/>
  <c r="M11" i="9" s="1"/>
  <c r="L11" i="9" s="1"/>
  <c r="P11" i="9"/>
  <c r="K5" i="9"/>
  <c r="M5" i="9" s="1"/>
  <c r="L5" i="9" s="1"/>
  <c r="P5" i="9"/>
  <c r="K13" i="9"/>
  <c r="M13" i="9" s="1"/>
  <c r="L13" i="9" s="1"/>
  <c r="P13" i="9"/>
  <c r="P16" i="9"/>
  <c r="K16" i="9"/>
  <c r="M16" i="9" s="1"/>
  <c r="L16" i="9" s="1"/>
  <c r="P8" i="9"/>
  <c r="K8" i="9"/>
  <c r="M8" i="9" s="1"/>
  <c r="L8" i="9" s="1"/>
  <c r="P2" i="9"/>
  <c r="K2" i="9"/>
  <c r="M2" i="9" s="1"/>
  <c r="L2" i="9" s="1"/>
  <c r="P14" i="9"/>
  <c r="K14" i="9"/>
  <c r="M14" i="9" s="1"/>
  <c r="L14" i="9" s="1"/>
  <c r="K9" i="9"/>
  <c r="M9" i="9" s="1"/>
  <c r="L9" i="9" s="1"/>
  <c r="P9" i="9"/>
  <c r="P12" i="9"/>
  <c r="K12" i="9"/>
  <c r="M12" i="9" s="1"/>
  <c r="L12" i="9" s="1"/>
  <c r="P10" i="9"/>
  <c r="K10" i="9"/>
  <c r="M10" i="9" s="1"/>
  <c r="L10" i="9" s="1"/>
  <c r="Q11" i="13" l="1"/>
  <c r="Q10" i="13"/>
  <c r="Q5" i="13"/>
  <c r="Q13" i="13"/>
  <c r="Q16" i="9"/>
  <c r="Q14" i="9"/>
  <c r="Q12" i="9"/>
  <c r="Q10" i="9"/>
  <c r="Q8" i="9"/>
  <c r="Q6" i="9"/>
  <c r="Q4" i="9"/>
  <c r="Q2" i="9"/>
  <c r="Q15" i="9"/>
  <c r="Q13" i="9"/>
  <c r="Q11" i="9"/>
  <c r="Q9" i="9"/>
  <c r="Q7" i="9"/>
  <c r="Q5" i="9"/>
  <c r="Q3" i="9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G21" i="1"/>
  <c r="G20" i="1"/>
  <c r="G19" i="1"/>
  <c r="G18" i="1"/>
  <c r="G17" i="1"/>
  <c r="I22" i="1"/>
  <c r="G22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K6" i="1"/>
  <c r="G3" i="1"/>
  <c r="I2" i="1"/>
  <c r="G2" i="1"/>
  <c r="L6" i="1" l="1"/>
  <c r="M6" i="1"/>
  <c r="N6" i="1" s="1"/>
  <c r="K21" i="1"/>
  <c r="L21" i="1" s="1"/>
  <c r="K13" i="1"/>
  <c r="L13" i="1" s="1"/>
  <c r="K5" i="1"/>
  <c r="L5" i="1" s="1"/>
  <c r="K20" i="1"/>
  <c r="K12" i="1"/>
  <c r="L12" i="1" s="1"/>
  <c r="K19" i="1"/>
  <c r="L19" i="1" s="1"/>
  <c r="K15" i="1"/>
  <c r="L15" i="1" s="1"/>
  <c r="K11" i="1"/>
  <c r="K7" i="1"/>
  <c r="K3" i="1"/>
  <c r="K17" i="1"/>
  <c r="L17" i="1" s="1"/>
  <c r="K9" i="1"/>
  <c r="K16" i="1"/>
  <c r="K8" i="1"/>
  <c r="K4" i="1"/>
  <c r="L4" i="1" s="1"/>
  <c r="K18" i="1"/>
  <c r="K14" i="1"/>
  <c r="K10" i="1"/>
  <c r="K22" i="1"/>
  <c r="L22" i="1" s="1"/>
  <c r="K2" i="1"/>
  <c r="M2" i="1" l="1"/>
  <c r="L2" i="1"/>
  <c r="M16" i="1"/>
  <c r="L16" i="1"/>
  <c r="L18" i="1"/>
  <c r="M9" i="1"/>
  <c r="L9" i="1"/>
  <c r="L11" i="1"/>
  <c r="M20" i="1"/>
  <c r="L20" i="1"/>
  <c r="M10" i="1"/>
  <c r="O10" i="1" s="1"/>
  <c r="L10" i="1"/>
  <c r="M8" i="1"/>
  <c r="L8" i="1"/>
  <c r="M14" i="1"/>
  <c r="T14" i="1" s="1"/>
  <c r="L14" i="1"/>
  <c r="M7" i="1"/>
  <c r="L7" i="1"/>
  <c r="M3" i="1"/>
  <c r="T3" i="1" s="1"/>
  <c r="L3" i="1"/>
  <c r="M18" i="1"/>
  <c r="X10" i="1"/>
  <c r="AC10" i="1" s="1"/>
  <c r="X3" i="1"/>
  <c r="AC3" i="1" s="1"/>
  <c r="X20" i="1"/>
  <c r="Q20" i="1"/>
  <c r="T20" i="1"/>
  <c r="O20" i="1"/>
  <c r="O9" i="1"/>
  <c r="T9" i="1"/>
  <c r="X9" i="1"/>
  <c r="X7" i="1"/>
  <c r="AC7" i="1" s="1"/>
  <c r="T7" i="1"/>
  <c r="O7" i="1"/>
  <c r="T16" i="1"/>
  <c r="O16" i="1"/>
  <c r="Q16" i="1"/>
  <c r="O14" i="1"/>
  <c r="M5" i="1"/>
  <c r="N5" i="1" s="1"/>
  <c r="T2" i="1"/>
  <c r="O2" i="1"/>
  <c r="X2" i="1"/>
  <c r="T18" i="1"/>
  <c r="O18" i="1"/>
  <c r="X18" i="1"/>
  <c r="AC18" i="1" s="1"/>
  <c r="M21" i="1"/>
  <c r="N21" i="1" s="1"/>
  <c r="M17" i="1"/>
  <c r="N17" i="1" s="1"/>
  <c r="X8" i="1"/>
  <c r="T8" i="1"/>
  <c r="O8" i="1"/>
  <c r="Q8" i="1"/>
  <c r="M4" i="1"/>
  <c r="N4" i="1" s="1"/>
  <c r="M19" i="1"/>
  <c r="N19" i="1" s="1"/>
  <c r="T6" i="1"/>
  <c r="U6" i="1" s="1"/>
  <c r="O6" i="1"/>
  <c r="X6" i="1"/>
  <c r="AC6" i="1" s="1"/>
  <c r="M22" i="1"/>
  <c r="N22" i="1" s="1"/>
  <c r="U22" i="1" s="1"/>
  <c r="M12" i="1"/>
  <c r="N12" i="1" s="1"/>
  <c r="M15" i="1"/>
  <c r="N15" i="1" s="1"/>
  <c r="M13" i="1"/>
  <c r="N13" i="1" s="1"/>
  <c r="M11" i="1"/>
  <c r="AC20" i="1"/>
  <c r="AC8" i="1"/>
  <c r="AC9" i="1"/>
  <c r="N16" i="1" l="1"/>
  <c r="U16" i="1" s="1"/>
  <c r="Q2" i="1"/>
  <c r="P2" i="1"/>
  <c r="Q14" i="1"/>
  <c r="P20" i="1"/>
  <c r="O3" i="1"/>
  <c r="Q3" i="1" s="1"/>
  <c r="N9" i="1"/>
  <c r="U9" i="1" s="1"/>
  <c r="V2" i="1"/>
  <c r="U2" i="1"/>
  <c r="W2" i="1" s="1"/>
  <c r="X16" i="1"/>
  <c r="AC16" i="1" s="1"/>
  <c r="U20" i="1"/>
  <c r="N7" i="1"/>
  <c r="U7" i="1" s="1"/>
  <c r="N8" i="1"/>
  <c r="P8" i="1" s="1"/>
  <c r="N20" i="1"/>
  <c r="N2" i="1"/>
  <c r="N14" i="1"/>
  <c r="U14" i="1" s="1"/>
  <c r="N10" i="1"/>
  <c r="P10" i="1" s="1"/>
  <c r="X14" i="1"/>
  <c r="AC14" i="1" s="1"/>
  <c r="T10" i="1"/>
  <c r="Q7" i="1"/>
  <c r="P7" i="1"/>
  <c r="Q6" i="1"/>
  <c r="P6" i="1"/>
  <c r="N11" i="1"/>
  <c r="N18" i="1"/>
  <c r="P18" i="1" s="1"/>
  <c r="N3" i="1"/>
  <c r="U3" i="1" s="1"/>
  <c r="O22" i="1"/>
  <c r="X19" i="1"/>
  <c r="AC19" i="1" s="1"/>
  <c r="T19" i="1"/>
  <c r="U19" i="1" s="1"/>
  <c r="O19" i="1"/>
  <c r="P19" i="1" s="1"/>
  <c r="O5" i="1"/>
  <c r="P5" i="1" s="1"/>
  <c r="X5" i="1"/>
  <c r="AC5" i="1" s="1"/>
  <c r="T5" i="1"/>
  <c r="U5" i="1" s="1"/>
  <c r="O21" i="1"/>
  <c r="P21" i="1" s="1"/>
  <c r="X21" i="1"/>
  <c r="AC21" i="1" s="1"/>
  <c r="T21" i="1"/>
  <c r="U21" i="1" s="1"/>
  <c r="Q9" i="1"/>
  <c r="Q10" i="1"/>
  <c r="X12" i="1"/>
  <c r="AC12" i="1" s="1"/>
  <c r="T12" i="1"/>
  <c r="U12" i="1" s="1"/>
  <c r="O12" i="1"/>
  <c r="P12" i="1" s="1"/>
  <c r="X11" i="1"/>
  <c r="AC11" i="1" s="1"/>
  <c r="T11" i="1"/>
  <c r="U11" i="1" s="1"/>
  <c r="O11" i="1"/>
  <c r="P11" i="1" s="1"/>
  <c r="O17" i="1"/>
  <c r="P17" i="1" s="1"/>
  <c r="X17" i="1"/>
  <c r="AC17" i="1" s="1"/>
  <c r="T17" i="1"/>
  <c r="U17" i="1" s="1"/>
  <c r="Q18" i="1"/>
  <c r="O13" i="1"/>
  <c r="X13" i="1"/>
  <c r="AC13" i="1" s="1"/>
  <c r="T13" i="1"/>
  <c r="U13" i="1" s="1"/>
  <c r="T4" i="1"/>
  <c r="U4" i="1" s="1"/>
  <c r="X4" i="1"/>
  <c r="AC4" i="1" s="1"/>
  <c r="O4" i="1"/>
  <c r="P4" i="1" s="1"/>
  <c r="X15" i="1"/>
  <c r="AC15" i="1" s="1"/>
  <c r="T15" i="1"/>
  <c r="U15" i="1" s="1"/>
  <c r="O15" i="1"/>
  <c r="AC2" i="1"/>
  <c r="V5" i="1"/>
  <c r="V3" i="1"/>
  <c r="Q22" i="1" l="1"/>
  <c r="P22" i="1"/>
  <c r="P16" i="1"/>
  <c r="P9" i="1"/>
  <c r="Q4" i="1"/>
  <c r="U8" i="1"/>
  <c r="U10" i="1"/>
  <c r="W17" i="1" s="1"/>
  <c r="P14" i="1"/>
  <c r="U18" i="1"/>
  <c r="V11" i="1"/>
  <c r="Q15" i="1"/>
  <c r="P15" i="1"/>
  <c r="Q13" i="1"/>
  <c r="P13" i="1"/>
  <c r="V21" i="1"/>
  <c r="V18" i="1"/>
  <c r="V8" i="1"/>
  <c r="V6" i="1"/>
  <c r="W21" i="1"/>
  <c r="W9" i="1"/>
  <c r="W5" i="1"/>
  <c r="W3" i="1"/>
  <c r="W14" i="1"/>
  <c r="W6" i="1"/>
  <c r="W20" i="1"/>
  <c r="W16" i="1"/>
  <c r="W12" i="1"/>
  <c r="W8" i="1"/>
  <c r="W4" i="1"/>
  <c r="W15" i="1"/>
  <c r="W7" i="1"/>
  <c r="P3" i="1"/>
  <c r="V19" i="1"/>
  <c r="V15" i="1"/>
  <c r="V13" i="1"/>
  <c r="V12" i="1"/>
  <c r="V9" i="1"/>
  <c r="AC23" i="1"/>
  <c r="V14" i="1"/>
  <c r="V17" i="1"/>
  <c r="V20" i="1"/>
  <c r="V4" i="1"/>
  <c r="V7" i="1"/>
  <c r="V10" i="1"/>
  <c r="Q17" i="1"/>
  <c r="Q5" i="1"/>
  <c r="V16" i="1"/>
  <c r="Q11" i="1"/>
  <c r="Q12" i="1"/>
  <c r="Q21" i="1"/>
  <c r="Q19" i="1"/>
  <c r="W11" i="1" l="1"/>
  <c r="W10" i="1"/>
  <c r="W18" i="1"/>
  <c r="W13" i="1"/>
  <c r="W19" i="1"/>
</calcChain>
</file>

<file path=xl/sharedStrings.xml><?xml version="1.0" encoding="utf-8"?>
<sst xmlns="http://schemas.openxmlformats.org/spreadsheetml/2006/main" count="231" uniqueCount="148">
  <si>
    <t xml:space="preserve">Sample name </t>
  </si>
  <si>
    <t>Time separated</t>
  </si>
  <si>
    <t>Time measured</t>
  </si>
  <si>
    <t>Measured Counts (cpm)</t>
  </si>
  <si>
    <t>Total Bkgd corrected counts (cpm)</t>
  </si>
  <si>
    <t>Time elapsed (hrs)</t>
  </si>
  <si>
    <t>Ingrowth factor</t>
  </si>
  <si>
    <t>Efficiency Factor (Y)</t>
  </si>
  <si>
    <t>Efficiency factor (Sr)</t>
  </si>
  <si>
    <t>CPM of Sr-90</t>
  </si>
  <si>
    <t xml:space="preserve">CPM of Y-90 </t>
  </si>
  <si>
    <t>DPM Total</t>
  </si>
  <si>
    <t>DPM Y-90</t>
  </si>
  <si>
    <t>DPM Sr-90</t>
  </si>
  <si>
    <t>Decay constant of Y-90=</t>
  </si>
  <si>
    <t>Blk</t>
  </si>
  <si>
    <t>CT17 1 mL</t>
  </si>
  <si>
    <t>CT17 2 mL</t>
  </si>
  <si>
    <t>CT17 3 mL</t>
  </si>
  <si>
    <t>CT17 4 mL</t>
  </si>
  <si>
    <t>CT17 5 mL</t>
  </si>
  <si>
    <t>CT17 6 mL</t>
  </si>
  <si>
    <t>CT17 7 mL</t>
  </si>
  <si>
    <t>CT17 8 mL</t>
  </si>
  <si>
    <t>CT17 9 mL</t>
  </si>
  <si>
    <t>CT17 10 mL</t>
  </si>
  <si>
    <t>CT17 11 mL</t>
  </si>
  <si>
    <t>CT17 12 mL</t>
  </si>
  <si>
    <t>CT17 13 mL</t>
  </si>
  <si>
    <t>CT17 14 mL</t>
  </si>
  <si>
    <t>CT17 15 mL</t>
  </si>
  <si>
    <t>CT17 16 mL</t>
  </si>
  <si>
    <t>CT17 17 mL</t>
  </si>
  <si>
    <t>CT17 18 mL</t>
  </si>
  <si>
    <t>CT17 19 mL</t>
  </si>
  <si>
    <t>CT17 20 mL</t>
  </si>
  <si>
    <t>CT16 1 mL</t>
  </si>
  <si>
    <t>CT16 2 mL</t>
  </si>
  <si>
    <t>CT16 3 mL</t>
  </si>
  <si>
    <t>CT16 4 mL</t>
  </si>
  <si>
    <t>CT16 5 mL</t>
  </si>
  <si>
    <t>CT16 6 mL</t>
  </si>
  <si>
    <t>CT16 7 mL</t>
  </si>
  <si>
    <t>CT16 8 mL</t>
  </si>
  <si>
    <t>CT16 9 mL</t>
  </si>
  <si>
    <t>CT16 10 mL</t>
  </si>
  <si>
    <t>CT16 11 mL</t>
  </si>
  <si>
    <t>CT16 12 mL</t>
  </si>
  <si>
    <t>CT16 13 mL</t>
  </si>
  <si>
    <t>CT16 14 mL</t>
  </si>
  <si>
    <t>CT16 15 mL</t>
  </si>
  <si>
    <t>Total counts (cpm)</t>
  </si>
  <si>
    <t>Total bkgd corrected counts (cpm)</t>
  </si>
  <si>
    <t>CT15 1 mL</t>
  </si>
  <si>
    <t>CT15 2 mL</t>
  </si>
  <si>
    <t>CT15 3 mL</t>
  </si>
  <si>
    <t>CT15 4 mL</t>
  </si>
  <si>
    <t>CT15 5 mL</t>
  </si>
  <si>
    <t>CT15 6 mL</t>
  </si>
  <si>
    <t>CT15 7 mL</t>
  </si>
  <si>
    <t>CT15 8 mL</t>
  </si>
  <si>
    <t>CT15 9 mL</t>
  </si>
  <si>
    <t>CT15 10 mL</t>
  </si>
  <si>
    <t>CT15 11 mL</t>
  </si>
  <si>
    <t>CT15 12 mL</t>
  </si>
  <si>
    <t>CT15 13 mL</t>
  </si>
  <si>
    <t>CT15 14 mL</t>
  </si>
  <si>
    <t>CT15 15 mL</t>
  </si>
  <si>
    <t>CT14 1 mL</t>
  </si>
  <si>
    <t>CT14 2 mL</t>
  </si>
  <si>
    <t>CT14 3 mL</t>
  </si>
  <si>
    <t>CT14 4 mL</t>
  </si>
  <si>
    <t>CT14 5 mL</t>
  </si>
  <si>
    <t>CT14 6 mL</t>
  </si>
  <si>
    <t>CT14 7 mL</t>
  </si>
  <si>
    <t>CT14 8 mL</t>
  </si>
  <si>
    <t>CT14 9 mL</t>
  </si>
  <si>
    <t>CT14 10 mL</t>
  </si>
  <si>
    <t>CT14 11 mL</t>
  </si>
  <si>
    <t>CT14 12 mL</t>
  </si>
  <si>
    <t>CT14 13 mL</t>
  </si>
  <si>
    <t>CT14 14 mL</t>
  </si>
  <si>
    <t>CT14 15 mL</t>
  </si>
  <si>
    <t>Measured counts (cpm)</t>
  </si>
  <si>
    <t>CT13 1 mL</t>
  </si>
  <si>
    <t>CT13 2 mL</t>
  </si>
  <si>
    <t>CT13 3 mL</t>
  </si>
  <si>
    <t>CT13 4 mL</t>
  </si>
  <si>
    <t>CT13 5 mL</t>
  </si>
  <si>
    <t>CT13 6 mL</t>
  </si>
  <si>
    <t>CT13 7 mL</t>
  </si>
  <si>
    <t>CT13 8 mL</t>
  </si>
  <si>
    <t>CT13 9 mL</t>
  </si>
  <si>
    <t>CT13 10 mL</t>
  </si>
  <si>
    <t>CT13 11 mL</t>
  </si>
  <si>
    <t>CT13 12 mL</t>
  </si>
  <si>
    <t>CT13 13 mL</t>
  </si>
  <si>
    <t>CT13 14 mL</t>
  </si>
  <si>
    <t>CT13 15 mL</t>
  </si>
  <si>
    <t>5 ml/min</t>
  </si>
  <si>
    <t>3 ml/min</t>
  </si>
  <si>
    <t>mL/min</t>
  </si>
  <si>
    <t>volume of 1/2 elution</t>
  </si>
  <si>
    <t>Weight of eluate</t>
  </si>
  <si>
    <t>Weight Corrected Sr-90 Activity (DPM)</t>
  </si>
  <si>
    <t>Cumulative Activity (DPM)</t>
  </si>
  <si>
    <t>Weight of Eluate (g)</t>
  </si>
  <si>
    <t xml:space="preserve">Cumulative Activity (DPM) </t>
  </si>
  <si>
    <t>Cumulative Counts (DPM)</t>
  </si>
  <si>
    <t>Weight Corrected Sr-90 Activity (DMP)</t>
  </si>
  <si>
    <t>Weight of eluate (g)</t>
  </si>
  <si>
    <t>CT18 1 mL</t>
  </si>
  <si>
    <t>CT18 2 mL</t>
  </si>
  <si>
    <t>CT18 3 mL</t>
  </si>
  <si>
    <t>CT18 4 mL</t>
  </si>
  <si>
    <t>CT18 5 mL</t>
  </si>
  <si>
    <t>CT18 6 mL</t>
  </si>
  <si>
    <t>CT18 7 mL</t>
  </si>
  <si>
    <t>CT18 8 mL</t>
  </si>
  <si>
    <t>CT18 9 mL</t>
  </si>
  <si>
    <t>CT18 10 mL</t>
  </si>
  <si>
    <t>CT18 11 mL</t>
  </si>
  <si>
    <t>CT18 12 mL</t>
  </si>
  <si>
    <t>CT18 13 mL</t>
  </si>
  <si>
    <t>CT18 14 mL</t>
  </si>
  <si>
    <t>CT18 15 mL</t>
  </si>
  <si>
    <t>6 mL/min</t>
  </si>
  <si>
    <t>4 mL/min</t>
  </si>
  <si>
    <t>2 mL/min</t>
  </si>
  <si>
    <t>1 mL/min</t>
  </si>
  <si>
    <t>Time from 05.06.2018</t>
  </si>
  <si>
    <t>DC factor</t>
  </si>
  <si>
    <t>DC to 05.06.2018</t>
  </si>
  <si>
    <t>Decay constant of sr-90=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</si>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</sst>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NumberFormat="1"/>
    <xf numFmtId="22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0" xfId="0" applyBorder="1"/>
    <xf numFmtId="0" fontId="0" fillId="0" borderId="0" xfId="0" applyFill="1" applyBorder="1"/>
    <xf numFmtId="0" fontId="0" fillId="2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/>
    <xf numFmtId="0" fontId="0" fillId="3" borderId="0" xfId="0" applyFill="1"/>
    <xf numFmtId="166" fontId="0" fillId="3" borderId="3" xfId="0" applyNumberFormat="1" applyFill="1" applyBorder="1"/>
    <xf numFmtId="166" fontId="0" fillId="3" borderId="1" xfId="0" applyNumberFormat="1" applyFill="1" applyBorder="1"/>
    <xf numFmtId="0" fontId="0" fillId="0" borderId="2" xfId="0" applyBorder="1"/>
    <xf numFmtId="0" fontId="0" fillId="0" borderId="1" xfId="0" applyBorder="1"/>
    <xf numFmtId="0" fontId="0" fillId="0" borderId="1" xfId="0" applyNumberFormat="1" applyBorder="1"/>
    <xf numFmtId="22" fontId="0" fillId="0" borderId="1" xfId="0" applyNumberFormat="1" applyBorder="1"/>
    <xf numFmtId="0" fontId="0" fillId="3" borderId="1" xfId="0" applyNumberFormat="1" applyFill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0" fontId="0" fillId="0" borderId="3" xfId="0" applyNumberFormat="1" applyBorder="1"/>
    <xf numFmtId="0" fontId="0" fillId="3" borderId="3" xfId="0" applyNumberFormat="1" applyFill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2" xfId="0" applyNumberFormat="1" applyBorder="1"/>
    <xf numFmtId="0" fontId="0" fillId="0" borderId="5" xfId="0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 mL/min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10-402F-9E17-9C571689A79A}"/>
            </c:ext>
          </c:extLst>
        </c:ser>
        <c:ser>
          <c:idx val="1"/>
          <c:order val="1"/>
          <c:tx>
            <c:v>2 mL/min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10-402F-9E17-9C571689A79A}"/>
            </c:ext>
          </c:extLst>
        </c:ser>
        <c:ser>
          <c:idx val="5"/>
          <c:order val="2"/>
          <c:tx>
            <c:v>3 mL/min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E2-4354-A613-7D1611F00353}"/>
            </c:ext>
          </c:extLst>
        </c:ser>
        <c:ser>
          <c:idx val="2"/>
          <c:order val="3"/>
          <c:tx>
            <c:v>4 mL/min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10-402F-9E17-9C571689A79A}"/>
            </c:ext>
          </c:extLst>
        </c:ser>
        <c:ser>
          <c:idx val="3"/>
          <c:order val="4"/>
          <c:tx>
            <c:v>5 mL/min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'CT17'!$A$2:$A$21</c:f>
              <c:strCache>
                <c:ptCount val="20"/>
                <c:pt idx="0">
                  <c:v>CT17 1 mL</c:v>
                </c:pt>
                <c:pt idx="1">
                  <c:v>CT17 2 mL</c:v>
                </c:pt>
                <c:pt idx="2">
                  <c:v>CT17 3 mL</c:v>
                </c:pt>
                <c:pt idx="3">
                  <c:v>CT17 4 mL</c:v>
                </c:pt>
                <c:pt idx="4">
                  <c:v>CT17 5 mL</c:v>
                </c:pt>
                <c:pt idx="5">
                  <c:v>CT17 6 mL</c:v>
                </c:pt>
                <c:pt idx="6">
                  <c:v>CT17 7 mL</c:v>
                </c:pt>
                <c:pt idx="7">
                  <c:v>CT17 8 mL</c:v>
                </c:pt>
                <c:pt idx="8">
                  <c:v>CT17 9 mL</c:v>
                </c:pt>
                <c:pt idx="9">
                  <c:v>CT17 10 mL</c:v>
                </c:pt>
                <c:pt idx="10">
                  <c:v>CT17 11 mL</c:v>
                </c:pt>
                <c:pt idx="11">
                  <c:v>CT17 12 mL</c:v>
                </c:pt>
                <c:pt idx="12">
                  <c:v>CT17 13 mL</c:v>
                </c:pt>
                <c:pt idx="13">
                  <c:v>CT17 14 mL</c:v>
                </c:pt>
                <c:pt idx="14">
                  <c:v>CT17 15 mL</c:v>
                </c:pt>
                <c:pt idx="15">
                  <c:v>CT17 16 mL</c:v>
                </c:pt>
                <c:pt idx="16">
                  <c:v>CT17 17 mL</c:v>
                </c:pt>
                <c:pt idx="17">
                  <c:v>CT17 18 mL</c:v>
                </c:pt>
                <c:pt idx="18">
                  <c:v>CT17 19 mL</c:v>
                </c:pt>
                <c:pt idx="19">
                  <c:v>CT17 20 mL</c:v>
                </c:pt>
              </c:strCache>
            </c:strRef>
          </c:xVal>
          <c:yVal>
            <c:numRef>
              <c:f>'CT17'!#REF!</c:f>
              <c:numCache>
                <c:formatCode>General</c:formatCode>
                <c:ptCount val="20"/>
                <c:pt idx="0">
                  <c:v>2.9995686731004176</c:v>
                </c:pt>
                <c:pt idx="1">
                  <c:v>2.9539576909104706</c:v>
                </c:pt>
                <c:pt idx="2">
                  <c:v>1.2724469021040981</c:v>
                </c:pt>
                <c:pt idx="3">
                  <c:v>1.3318872665012969</c:v>
                </c:pt>
                <c:pt idx="4">
                  <c:v>28.344016679876106</c:v>
                </c:pt>
                <c:pt idx="5">
                  <c:v>99.955421760162665</c:v>
                </c:pt>
                <c:pt idx="6">
                  <c:v>140.89232418314805</c:v>
                </c:pt>
                <c:pt idx="7">
                  <c:v>110.05906250557305</c:v>
                </c:pt>
                <c:pt idx="8">
                  <c:v>77.779821743292672</c:v>
                </c:pt>
                <c:pt idx="9">
                  <c:v>46.458097301926543</c:v>
                </c:pt>
                <c:pt idx="10">
                  <c:v>29.427537145509984</c:v>
                </c:pt>
                <c:pt idx="11">
                  <c:v>23.331927499455542</c:v>
                </c:pt>
                <c:pt idx="12">
                  <c:v>16.156084518714856</c:v>
                </c:pt>
                <c:pt idx="13">
                  <c:v>9.7659850975760456</c:v>
                </c:pt>
                <c:pt idx="14">
                  <c:v>6.5302410857679964</c:v>
                </c:pt>
                <c:pt idx="15">
                  <c:v>4.9958158405090805</c:v>
                </c:pt>
                <c:pt idx="16">
                  <c:v>3.1572677374058427</c:v>
                </c:pt>
                <c:pt idx="17">
                  <c:v>1.7793185269230984</c:v>
                </c:pt>
                <c:pt idx="18">
                  <c:v>2.0439930186574409</c:v>
                </c:pt>
                <c:pt idx="19">
                  <c:v>1.8853246494161904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B10-402F-9E17-9C571689A79A}"/>
            </c:ext>
          </c:extLst>
        </c:ser>
        <c:ser>
          <c:idx val="4"/>
          <c:order val="5"/>
          <c:tx>
            <c:v>6 mL/min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B10-402F-9E17-9C571689A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11488"/>
        <c:axId val="100995840"/>
      </c:scatterChart>
      <c:valAx>
        <c:axId val="82111488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95840"/>
        <c:crosses val="autoZero"/>
        <c:crossBetween val="midCat"/>
      </c:valAx>
      <c:valAx>
        <c:axId val="10099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11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 mL/min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3E-4358-A0F8-C43E68615BA2}"/>
            </c:ext>
          </c:extLst>
        </c:ser>
        <c:ser>
          <c:idx val="1"/>
          <c:order val="1"/>
          <c:tx>
            <c:v>2 mL/min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3E-4358-A0F8-C43E68615BA2}"/>
            </c:ext>
          </c:extLst>
        </c:ser>
        <c:ser>
          <c:idx val="5"/>
          <c:order val="2"/>
          <c:tx>
            <c:v>3 mL/min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3E-4358-A0F8-C43E68615BA2}"/>
            </c:ext>
          </c:extLst>
        </c:ser>
        <c:ser>
          <c:idx val="2"/>
          <c:order val="3"/>
          <c:tx>
            <c:v>4 mL/min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B3E-4358-A0F8-C43E68615BA2}"/>
            </c:ext>
          </c:extLst>
        </c:ser>
        <c:ser>
          <c:idx val="3"/>
          <c:order val="4"/>
          <c:tx>
            <c:v>5 mL/min</c:v>
          </c:tx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'CT17'!$A$2:$A$21</c:f>
              <c:strCache>
                <c:ptCount val="20"/>
                <c:pt idx="0">
                  <c:v>CT17 1 mL</c:v>
                </c:pt>
                <c:pt idx="1">
                  <c:v>CT17 2 mL</c:v>
                </c:pt>
                <c:pt idx="2">
                  <c:v>CT17 3 mL</c:v>
                </c:pt>
                <c:pt idx="3">
                  <c:v>CT17 4 mL</c:v>
                </c:pt>
                <c:pt idx="4">
                  <c:v>CT17 5 mL</c:v>
                </c:pt>
                <c:pt idx="5">
                  <c:v>CT17 6 mL</c:v>
                </c:pt>
                <c:pt idx="6">
                  <c:v>CT17 7 mL</c:v>
                </c:pt>
                <c:pt idx="7">
                  <c:v>CT17 8 mL</c:v>
                </c:pt>
                <c:pt idx="8">
                  <c:v>CT17 9 mL</c:v>
                </c:pt>
                <c:pt idx="9">
                  <c:v>CT17 10 mL</c:v>
                </c:pt>
                <c:pt idx="10">
                  <c:v>CT17 11 mL</c:v>
                </c:pt>
                <c:pt idx="11">
                  <c:v>CT17 12 mL</c:v>
                </c:pt>
                <c:pt idx="12">
                  <c:v>CT17 13 mL</c:v>
                </c:pt>
                <c:pt idx="13">
                  <c:v>CT17 14 mL</c:v>
                </c:pt>
                <c:pt idx="14">
                  <c:v>CT17 15 mL</c:v>
                </c:pt>
                <c:pt idx="15">
                  <c:v>CT17 16 mL</c:v>
                </c:pt>
                <c:pt idx="16">
                  <c:v>CT17 17 mL</c:v>
                </c:pt>
                <c:pt idx="17">
                  <c:v>CT17 18 mL</c:v>
                </c:pt>
                <c:pt idx="18">
                  <c:v>CT17 19 mL</c:v>
                </c:pt>
                <c:pt idx="19">
                  <c:v>CT17 20 mL</c:v>
                </c:pt>
              </c:strCache>
            </c:strRef>
          </c:xVal>
          <c:yVal>
            <c:numRef>
              <c:f>'CT17'!#REF!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B3E-4358-A0F8-C43E68615BA2}"/>
            </c:ext>
          </c:extLst>
        </c:ser>
        <c:ser>
          <c:idx val="4"/>
          <c:order val="5"/>
          <c:tx>
            <c:v>6 mL/min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B3E-4358-A0F8-C43E68615BA2}"/>
            </c:ext>
          </c:extLst>
        </c:ser>
        <c:ser>
          <c:idx val="6"/>
          <c:order val="6"/>
          <c:tx>
            <c:v>half elution volume</c:v>
          </c:tx>
          <c:marker>
            <c:symbol val="circle"/>
            <c:size val="5"/>
          </c:marker>
          <c:xVal>
            <c:numRef>
              <c:f>Graphs!$L$30:$L$35</c:f>
              <c:numCache>
                <c:formatCode>General</c:formatCode>
                <c:ptCount val="6"/>
                <c:pt idx="0">
                  <c:v>5.8</c:v>
                </c:pt>
                <c:pt idx="1">
                  <c:v>6.6</c:v>
                </c:pt>
                <c:pt idx="2">
                  <c:v>7.2</c:v>
                </c:pt>
                <c:pt idx="3">
                  <c:v>7.5</c:v>
                </c:pt>
                <c:pt idx="4">
                  <c:v>7.5</c:v>
                </c:pt>
                <c:pt idx="5">
                  <c:v>8.1999999999999993</c:v>
                </c:pt>
              </c:numCache>
            </c:numRef>
          </c:xVal>
          <c:yVal>
            <c:numRef>
              <c:f>Graphs!$M$30:$M$35</c:f>
              <c:numCache>
                <c:formatCode>General</c:formatCode>
                <c:ptCount val="6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D5-4C43-8C16-AE21924EC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89184"/>
        <c:axId val="102590720"/>
      </c:scatterChart>
      <c:valAx>
        <c:axId val="102589184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90720"/>
        <c:crosses val="autoZero"/>
        <c:crossBetween val="midCat"/>
      </c:valAx>
      <c:valAx>
        <c:axId val="10259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89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Graphs!$P$29</c:f>
              <c:strCache>
                <c:ptCount val="1"/>
                <c:pt idx="0">
                  <c:v>volume of 1/2 elution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Graphs!$O$30:$O$35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Graphs!$P$30:$P$35</c:f>
              <c:numCache>
                <c:formatCode>General</c:formatCode>
                <c:ptCount val="6"/>
                <c:pt idx="0">
                  <c:v>5.8</c:v>
                </c:pt>
                <c:pt idx="1">
                  <c:v>7.5</c:v>
                </c:pt>
                <c:pt idx="2">
                  <c:v>6.6</c:v>
                </c:pt>
                <c:pt idx="3">
                  <c:v>7.5</c:v>
                </c:pt>
                <c:pt idx="4">
                  <c:v>7.2</c:v>
                </c:pt>
                <c:pt idx="5">
                  <c:v>8.1999999999999993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01-4DCB-9EDA-5DA0CC796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006024"/>
        <c:axId val="463012256"/>
      </c:scatterChart>
      <c:valAx>
        <c:axId val="4630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 rate (mL/min)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12256"/>
        <c:crosses val="autoZero"/>
        <c:crossBetween val="midCat"/>
      </c:valAx>
      <c:valAx>
        <c:axId val="46301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Volume of half elution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06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2</xdr:row>
      <xdr:rowOff>114300</xdr:rowOff>
    </xdr:from>
    <xdr:to>
      <xdr:col>10</xdr:col>
      <xdr:colOff>85724</xdr:colOff>
      <xdr:row>21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238125</xdr:colOff>
      <xdr:row>1</xdr:row>
      <xdr:rowOff>152400</xdr:rowOff>
    </xdr:from>
    <xdr:to>
      <xdr:col>24</xdr:col>
      <xdr:colOff>257175</xdr:colOff>
      <xdr:row>25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409014</xdr:colOff>
      <xdr:row>26</xdr:row>
      <xdr:rowOff>6723</xdr:rowOff>
    </xdr:from>
    <xdr:to>
      <xdr:col>26</xdr:col>
      <xdr:colOff>140073</xdr:colOff>
      <xdr:row>40</xdr:row>
      <xdr:rowOff>82923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opLeftCell="K1" workbookViewId="0">
      <selection activeCell="R1" sqref="R1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22.1406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8.85546875" bestFit="1" customWidth="1"/>
    <col min="16" max="16" width="35.42578125" bestFit="1" customWidth="1"/>
    <col min="17" max="17" width="25.140625" bestFit="1" customWidth="1"/>
    <col min="18" max="22" width="25.140625" customWidth="1"/>
    <col min="23" max="23" width="22.14062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83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106</v>
      </c>
      <c r="P1" t="s">
        <v>104</v>
      </c>
      <c r="Q1" t="s">
        <v>107</v>
      </c>
    </row>
    <row r="2" spans="1:23" x14ac:dyDescent="0.25">
      <c r="A2" t="s">
        <v>84</v>
      </c>
      <c r="B2" s="2">
        <v>43292.625</v>
      </c>
      <c r="C2" s="2">
        <v>43294.986805555556</v>
      </c>
      <c r="D2">
        <v>8.15</v>
      </c>
      <c r="E2">
        <f>D2-$D$17</f>
        <v>0.72000000000000064</v>
      </c>
      <c r="F2" s="3">
        <f>(C2-B2)*24</f>
        <v>56.683333333348855</v>
      </c>
      <c r="G2">
        <f>1-EXP(-$W$3*F2)</f>
        <v>0.47265512479689242</v>
      </c>
      <c r="H2">
        <v>1</v>
      </c>
      <c r="I2">
        <v>1</v>
      </c>
      <c r="J2">
        <f>E2/((1+G2)*(H2/I2))</f>
        <v>0.48891284040403049</v>
      </c>
      <c r="K2">
        <f>N2*G2*H2</f>
        <v>0.23108715959597018</v>
      </c>
      <c r="L2">
        <f>M2+N2</f>
        <v>0.72000000000000064</v>
      </c>
      <c r="M2">
        <f>K2/H2</f>
        <v>0.23108715959597018</v>
      </c>
      <c r="N2">
        <f>J2/I2</f>
        <v>0.48891284040403049</v>
      </c>
      <c r="O2">
        <v>1.04</v>
      </c>
      <c r="P2">
        <f>N2/O2</f>
        <v>0.47010850038849084</v>
      </c>
      <c r="Q2">
        <f>SUM($P$2:P2)</f>
        <v>0.47010850038849084</v>
      </c>
      <c r="W2" t="s">
        <v>14</v>
      </c>
    </row>
    <row r="3" spans="1:23" x14ac:dyDescent="0.25">
      <c r="A3" t="s">
        <v>85</v>
      </c>
      <c r="B3" s="2">
        <v>43292.625</v>
      </c>
      <c r="C3" s="2">
        <v>43295.009722222225</v>
      </c>
      <c r="D3">
        <v>7.81</v>
      </c>
      <c r="E3">
        <f t="shared" ref="E3:E17" si="0">D3-$D$17</f>
        <v>0.37999999999999989</v>
      </c>
      <c r="F3" s="3">
        <f t="shared" ref="F3:F17" si="1">(C3-B3)*24</f>
        <v>57.233333333395422</v>
      </c>
      <c r="G3">
        <f t="shared" ref="G3:G17" si="2">1-EXP(-$W$3*F3)</f>
        <v>0.47591925102766941</v>
      </c>
      <c r="H3">
        <v>1</v>
      </c>
      <c r="I3">
        <v>1</v>
      </c>
      <c r="J3">
        <f t="shared" ref="J3:J17" si="3">E3/((1+G3)*(H3/I3))</f>
        <v>0.25746666000555873</v>
      </c>
      <c r="K3">
        <f t="shared" ref="K3:K17" si="4">N3*G3*H3</f>
        <v>0.12253333999444112</v>
      </c>
      <c r="L3">
        <f t="shared" ref="L3:L17" si="5">M3+N3</f>
        <v>0.37999999999999984</v>
      </c>
      <c r="M3">
        <f t="shared" ref="M3:M17" si="6">K3/H3</f>
        <v>0.12253333999444112</v>
      </c>
      <c r="N3">
        <f t="shared" ref="N3:N17" si="7">J3/I3</f>
        <v>0.25746666000555873</v>
      </c>
      <c r="O3">
        <v>1.0408999999999997</v>
      </c>
      <c r="P3">
        <f t="shared" ref="P3:P16" si="8">N3/O3</f>
        <v>0.24735004323715901</v>
      </c>
      <c r="Q3">
        <f>SUM($P$2:P3)</f>
        <v>0.71745854362564987</v>
      </c>
      <c r="W3">
        <f>LN(2)/61.4</f>
        <v>1.1289042028663604E-2</v>
      </c>
    </row>
    <row r="4" spans="1:23" x14ac:dyDescent="0.25">
      <c r="A4" t="s">
        <v>86</v>
      </c>
      <c r="B4" s="2">
        <v>43292.625</v>
      </c>
      <c r="C4" s="2">
        <v>43295.032638888886</v>
      </c>
      <c r="D4">
        <v>9.41</v>
      </c>
      <c r="E4">
        <f t="shared" si="0"/>
        <v>1.9800000000000004</v>
      </c>
      <c r="F4" s="3">
        <f t="shared" si="1"/>
        <v>57.783333333267365</v>
      </c>
      <c r="G4">
        <f t="shared" si="2"/>
        <v>0.47916317317361901</v>
      </c>
      <c r="H4">
        <v>1</v>
      </c>
      <c r="I4">
        <v>1</v>
      </c>
      <c r="J4">
        <f t="shared" si="3"/>
        <v>1.3385947107862419</v>
      </c>
      <c r="K4">
        <f t="shared" si="4"/>
        <v>0.6414052892137585</v>
      </c>
      <c r="L4">
        <f t="shared" si="5"/>
        <v>1.9800000000000004</v>
      </c>
      <c r="M4">
        <f t="shared" si="6"/>
        <v>0.6414052892137585</v>
      </c>
      <c r="N4">
        <f t="shared" si="7"/>
        <v>1.3385947107862419</v>
      </c>
      <c r="O4">
        <v>0.99900000000000055</v>
      </c>
      <c r="P4">
        <f t="shared" si="8"/>
        <v>1.339934645431673</v>
      </c>
      <c r="Q4">
        <f>SUM($P$2:P4)</f>
        <v>2.0573931890573229</v>
      </c>
    </row>
    <row r="5" spans="1:23" x14ac:dyDescent="0.25">
      <c r="A5" t="s">
        <v>87</v>
      </c>
      <c r="B5" s="2">
        <v>43292.625</v>
      </c>
      <c r="C5" s="2">
        <v>43295.054861111108</v>
      </c>
      <c r="D5">
        <v>9.3800000000000008</v>
      </c>
      <c r="E5">
        <f t="shared" si="0"/>
        <v>1.9500000000000011</v>
      </c>
      <c r="F5" s="3">
        <f t="shared" si="1"/>
        <v>58.316666666592937</v>
      </c>
      <c r="G5">
        <f t="shared" si="2"/>
        <v>0.48228961788649161</v>
      </c>
      <c r="H5">
        <v>1</v>
      </c>
      <c r="I5">
        <v>1</v>
      </c>
      <c r="J5">
        <f t="shared" si="3"/>
        <v>1.3155323875103369</v>
      </c>
      <c r="K5">
        <f t="shared" si="4"/>
        <v>0.63446761248966432</v>
      </c>
      <c r="L5">
        <f t="shared" si="5"/>
        <v>1.9500000000000011</v>
      </c>
      <c r="M5">
        <f t="shared" si="6"/>
        <v>0.63446761248966432</v>
      </c>
      <c r="N5">
        <f t="shared" si="7"/>
        <v>1.3155323875103369</v>
      </c>
      <c r="O5">
        <v>0.85189999999999966</v>
      </c>
      <c r="P5">
        <f t="shared" si="8"/>
        <v>1.5442333460621405</v>
      </c>
      <c r="Q5">
        <f>SUM($P$2:P5)</f>
        <v>3.6016265351194634</v>
      </c>
    </row>
    <row r="6" spans="1:23" x14ac:dyDescent="0.25">
      <c r="A6" t="s">
        <v>88</v>
      </c>
      <c r="B6" s="2">
        <v>43292.625</v>
      </c>
      <c r="C6" s="2">
        <v>43295.077777777777</v>
      </c>
      <c r="D6">
        <v>88.23</v>
      </c>
      <c r="E6">
        <f t="shared" si="0"/>
        <v>80.800000000000011</v>
      </c>
      <c r="F6" s="3">
        <f t="shared" si="1"/>
        <v>58.866666666639503</v>
      </c>
      <c r="G6">
        <f t="shared" si="2"/>
        <v>0.485494109136267</v>
      </c>
      <c r="H6">
        <v>1</v>
      </c>
      <c r="I6">
        <v>1</v>
      </c>
      <c r="J6">
        <f t="shared" si="3"/>
        <v>54.392676149339131</v>
      </c>
      <c r="K6">
        <f t="shared" si="4"/>
        <v>26.40732385066088</v>
      </c>
      <c r="L6">
        <f t="shared" si="5"/>
        <v>80.800000000000011</v>
      </c>
      <c r="M6">
        <f t="shared" si="6"/>
        <v>26.40732385066088</v>
      </c>
      <c r="N6">
        <f t="shared" si="7"/>
        <v>54.392676149339131</v>
      </c>
      <c r="O6">
        <v>0.80949999999999989</v>
      </c>
      <c r="P6">
        <f t="shared" si="8"/>
        <v>67.192929152982259</v>
      </c>
      <c r="Q6">
        <f>SUM($P$2:P6)</f>
        <v>70.794555688101724</v>
      </c>
    </row>
    <row r="7" spans="1:23" x14ac:dyDescent="0.25">
      <c r="A7" t="s">
        <v>89</v>
      </c>
      <c r="B7" s="2">
        <v>43292.625</v>
      </c>
      <c r="C7" s="2">
        <v>43295.100694444445</v>
      </c>
      <c r="D7">
        <v>446.28</v>
      </c>
      <c r="E7">
        <f t="shared" si="0"/>
        <v>438.84999999999997</v>
      </c>
      <c r="F7" s="3">
        <f t="shared" si="1"/>
        <v>59.416666666686069</v>
      </c>
      <c r="G7">
        <f t="shared" si="2"/>
        <v>0.48867876542710664</v>
      </c>
      <c r="H7">
        <v>1</v>
      </c>
      <c r="I7">
        <v>1</v>
      </c>
      <c r="J7">
        <f t="shared" si="3"/>
        <v>294.79160326042029</v>
      </c>
      <c r="K7">
        <f t="shared" si="4"/>
        <v>144.05839673957962</v>
      </c>
      <c r="L7">
        <f t="shared" si="5"/>
        <v>438.84999999999991</v>
      </c>
      <c r="M7">
        <f t="shared" si="6"/>
        <v>144.05839673957962</v>
      </c>
      <c r="N7">
        <f t="shared" si="7"/>
        <v>294.79160326042029</v>
      </c>
      <c r="O7">
        <v>0.83760000000000012</v>
      </c>
      <c r="P7">
        <f t="shared" si="8"/>
        <v>351.94795040642339</v>
      </c>
      <c r="Q7">
        <f>SUM($P$2:P7)</f>
        <v>422.74250609452508</v>
      </c>
    </row>
    <row r="8" spans="1:23" x14ac:dyDescent="0.25">
      <c r="A8" t="s">
        <v>90</v>
      </c>
      <c r="B8" s="2">
        <v>43292.625</v>
      </c>
      <c r="C8" s="2">
        <v>43295.123611111114</v>
      </c>
      <c r="D8">
        <v>282.08</v>
      </c>
      <c r="E8">
        <f t="shared" si="0"/>
        <v>274.64999999999998</v>
      </c>
      <c r="F8" s="3">
        <f t="shared" si="1"/>
        <v>59.966666666732635</v>
      </c>
      <c r="G8">
        <f t="shared" si="2"/>
        <v>0.49184370953219503</v>
      </c>
      <c r="H8">
        <v>1</v>
      </c>
      <c r="I8">
        <v>1</v>
      </c>
      <c r="J8">
        <f t="shared" si="3"/>
        <v>184.1010544503508</v>
      </c>
      <c r="K8">
        <f t="shared" si="4"/>
        <v>90.548945549649162</v>
      </c>
      <c r="L8">
        <f t="shared" si="5"/>
        <v>274.64999999999998</v>
      </c>
      <c r="M8">
        <f t="shared" si="6"/>
        <v>90.548945549649162</v>
      </c>
      <c r="N8">
        <f t="shared" si="7"/>
        <v>184.1010544503508</v>
      </c>
      <c r="O8">
        <v>0.82859999999999978</v>
      </c>
      <c r="P8">
        <f t="shared" si="8"/>
        <v>222.18326629296507</v>
      </c>
      <c r="Q8">
        <f>SUM($P$2:P8)</f>
        <v>644.92577238749016</v>
      </c>
    </row>
    <row r="9" spans="1:23" x14ac:dyDescent="0.25">
      <c r="A9" t="s">
        <v>91</v>
      </c>
      <c r="B9" s="2">
        <v>43292.625</v>
      </c>
      <c r="C9" s="2">
        <v>43295.146527777775</v>
      </c>
      <c r="D9">
        <v>89.05</v>
      </c>
      <c r="E9">
        <f t="shared" si="0"/>
        <v>81.62</v>
      </c>
      <c r="F9" s="3">
        <f t="shared" si="1"/>
        <v>60.516666666604578</v>
      </c>
      <c r="G9">
        <f t="shared" si="2"/>
        <v>0.49498906346378768</v>
      </c>
      <c r="H9">
        <v>1</v>
      </c>
      <c r="I9">
        <v>1</v>
      </c>
      <c r="J9">
        <f t="shared" si="3"/>
        <v>54.595717115744002</v>
      </c>
      <c r="K9">
        <f t="shared" si="4"/>
        <v>27.024282884256007</v>
      </c>
      <c r="L9">
        <f t="shared" si="5"/>
        <v>81.62</v>
      </c>
      <c r="M9">
        <f t="shared" si="6"/>
        <v>27.024282884256007</v>
      </c>
      <c r="N9">
        <f t="shared" si="7"/>
        <v>54.595717115744002</v>
      </c>
      <c r="O9">
        <v>0.81829999999999981</v>
      </c>
      <c r="P9">
        <f t="shared" si="8"/>
        <v>66.718461585902503</v>
      </c>
      <c r="Q9">
        <f>SUM($P$2:P9)</f>
        <v>711.6442339733926</v>
      </c>
    </row>
    <row r="10" spans="1:23" x14ac:dyDescent="0.25">
      <c r="A10" t="s">
        <v>92</v>
      </c>
      <c r="B10" s="2">
        <v>43292.625</v>
      </c>
      <c r="C10" s="2">
        <v>43295.168749999997</v>
      </c>
      <c r="D10">
        <v>32.409999999999997</v>
      </c>
      <c r="E10">
        <f t="shared" si="0"/>
        <v>24.979999999999997</v>
      </c>
      <c r="F10" s="3">
        <f t="shared" si="1"/>
        <v>61.049999999930151</v>
      </c>
      <c r="G10">
        <f t="shared" si="2"/>
        <v>0.49802050957349764</v>
      </c>
      <c r="H10">
        <v>1</v>
      </c>
      <c r="I10">
        <v>1</v>
      </c>
      <c r="J10">
        <f t="shared" si="3"/>
        <v>16.675339116092655</v>
      </c>
      <c r="K10">
        <f t="shared" si="4"/>
        <v>8.3046608839073421</v>
      </c>
      <c r="L10">
        <f t="shared" si="5"/>
        <v>24.979999999999997</v>
      </c>
      <c r="M10">
        <f t="shared" si="6"/>
        <v>8.3046608839073421</v>
      </c>
      <c r="N10">
        <f t="shared" si="7"/>
        <v>16.675339116092655</v>
      </c>
      <c r="O10">
        <v>0.82489999999999952</v>
      </c>
      <c r="P10">
        <f t="shared" si="8"/>
        <v>20.214982562847212</v>
      </c>
      <c r="Q10">
        <f>SUM($P$2:P10)</f>
        <v>731.85921653623984</v>
      </c>
    </row>
    <row r="11" spans="1:23" x14ac:dyDescent="0.25">
      <c r="A11" t="s">
        <v>93</v>
      </c>
      <c r="B11" s="2">
        <v>43292.625</v>
      </c>
      <c r="C11" s="2">
        <v>43295.191666666666</v>
      </c>
      <c r="D11">
        <v>15.08</v>
      </c>
      <c r="E11">
        <f t="shared" si="0"/>
        <v>7.65</v>
      </c>
      <c r="F11" s="3">
        <f t="shared" si="1"/>
        <v>61.599999999976717</v>
      </c>
      <c r="G11">
        <f t="shared" si="2"/>
        <v>0.50112763073663036</v>
      </c>
      <c r="H11">
        <v>1</v>
      </c>
      <c r="I11">
        <v>1</v>
      </c>
      <c r="J11">
        <f t="shared" si="3"/>
        <v>5.0961689355128366</v>
      </c>
      <c r="K11">
        <f t="shared" si="4"/>
        <v>2.5538310644871633</v>
      </c>
      <c r="L11">
        <f t="shared" si="5"/>
        <v>7.65</v>
      </c>
      <c r="M11">
        <f t="shared" si="6"/>
        <v>2.5538310644871633</v>
      </c>
      <c r="N11">
        <f t="shared" si="7"/>
        <v>5.0961689355128366</v>
      </c>
      <c r="O11">
        <v>0.81519999999999992</v>
      </c>
      <c r="P11">
        <f t="shared" si="8"/>
        <v>6.2514339248194766</v>
      </c>
      <c r="Q11">
        <f>SUM($P$2:P11)</f>
        <v>738.11065046105932</v>
      </c>
    </row>
    <row r="12" spans="1:23" x14ac:dyDescent="0.25">
      <c r="A12" t="s">
        <v>94</v>
      </c>
      <c r="B12" s="2">
        <v>43292.625</v>
      </c>
      <c r="C12" s="2">
        <v>43295.214583333334</v>
      </c>
      <c r="D12">
        <v>10.81</v>
      </c>
      <c r="E12">
        <f t="shared" si="0"/>
        <v>3.3800000000000008</v>
      </c>
      <c r="F12" s="3">
        <f t="shared" si="1"/>
        <v>62.150000000023283</v>
      </c>
      <c r="G12">
        <f t="shared" si="2"/>
        <v>0.50421551963608213</v>
      </c>
      <c r="H12">
        <v>1</v>
      </c>
      <c r="I12">
        <v>1</v>
      </c>
      <c r="J12">
        <f t="shared" si="3"/>
        <v>2.247018433115044</v>
      </c>
      <c r="K12">
        <f t="shared" si="4"/>
        <v>1.132981566884957</v>
      </c>
      <c r="L12">
        <f t="shared" si="5"/>
        <v>3.3800000000000008</v>
      </c>
      <c r="M12">
        <f t="shared" si="6"/>
        <v>1.132981566884957</v>
      </c>
      <c r="N12">
        <f t="shared" si="7"/>
        <v>2.247018433115044</v>
      </c>
      <c r="O12">
        <v>0.82859999999999978</v>
      </c>
      <c r="P12">
        <f t="shared" si="8"/>
        <v>2.711825287370317</v>
      </c>
      <c r="Q12">
        <f>SUM($P$2:P12)</f>
        <v>740.82247574842961</v>
      </c>
    </row>
    <row r="13" spans="1:23" x14ac:dyDescent="0.25">
      <c r="A13" t="s">
        <v>95</v>
      </c>
      <c r="B13" s="2">
        <v>43292.625</v>
      </c>
      <c r="C13" s="2">
        <v>43295.237500000003</v>
      </c>
      <c r="D13">
        <v>10.71</v>
      </c>
      <c r="E13">
        <f t="shared" si="0"/>
        <v>3.2800000000000011</v>
      </c>
      <c r="F13" s="3">
        <f t="shared" si="1"/>
        <v>62.700000000069849</v>
      </c>
      <c r="G13">
        <f t="shared" si="2"/>
        <v>0.50728429531451213</v>
      </c>
      <c r="H13">
        <v>1</v>
      </c>
      <c r="I13">
        <v>1</v>
      </c>
      <c r="J13">
        <f t="shared" si="3"/>
        <v>2.1760991010097346</v>
      </c>
      <c r="K13">
        <f t="shared" si="4"/>
        <v>1.1039008989902666</v>
      </c>
      <c r="L13">
        <f t="shared" si="5"/>
        <v>3.2800000000000011</v>
      </c>
      <c r="M13">
        <f t="shared" si="6"/>
        <v>1.1039008989902666</v>
      </c>
      <c r="N13">
        <f t="shared" si="7"/>
        <v>2.1760991010097346</v>
      </c>
      <c r="O13">
        <v>0.8030999999999997</v>
      </c>
      <c r="P13">
        <f t="shared" si="8"/>
        <v>2.7096240829407736</v>
      </c>
      <c r="Q13">
        <f>SUM($P$2:P13)</f>
        <v>743.53209983137037</v>
      </c>
    </row>
    <row r="14" spans="1:23" x14ac:dyDescent="0.25">
      <c r="A14" t="s">
        <v>96</v>
      </c>
      <c r="B14" s="2">
        <v>43292.625</v>
      </c>
      <c r="C14" s="2">
        <v>43295.260416666664</v>
      </c>
      <c r="D14">
        <v>9.31</v>
      </c>
      <c r="E14">
        <f t="shared" si="0"/>
        <v>1.8800000000000008</v>
      </c>
      <c r="F14" s="3">
        <f t="shared" si="1"/>
        <v>63.249999999941792</v>
      </c>
      <c r="G14">
        <f t="shared" si="2"/>
        <v>0.51033407607677173</v>
      </c>
      <c r="H14">
        <v>1</v>
      </c>
      <c r="I14">
        <v>1</v>
      </c>
      <c r="J14">
        <f t="shared" si="3"/>
        <v>1.2447577193540316</v>
      </c>
      <c r="K14">
        <f t="shared" si="4"/>
        <v>0.63524228064596922</v>
      </c>
      <c r="L14">
        <f t="shared" si="5"/>
        <v>1.8800000000000008</v>
      </c>
      <c r="M14">
        <f t="shared" si="6"/>
        <v>0.63524228064596922</v>
      </c>
      <c r="N14">
        <f t="shared" si="7"/>
        <v>1.2447577193540316</v>
      </c>
      <c r="O14">
        <v>0.81329999999999991</v>
      </c>
      <c r="P14">
        <f t="shared" si="8"/>
        <v>1.5305025443920222</v>
      </c>
      <c r="Q14">
        <f>SUM($P$2:P14)</f>
        <v>745.06260237576237</v>
      </c>
    </row>
    <row r="15" spans="1:23" x14ac:dyDescent="0.25">
      <c r="A15" t="s">
        <v>97</v>
      </c>
      <c r="B15" s="2">
        <v>43292.625</v>
      </c>
      <c r="C15" s="2">
        <v>43295.282638888886</v>
      </c>
      <c r="D15">
        <v>9.17</v>
      </c>
      <c r="E15">
        <f t="shared" si="0"/>
        <v>1.7400000000000002</v>
      </c>
      <c r="F15" s="3">
        <f t="shared" si="1"/>
        <v>63.783333333267365</v>
      </c>
      <c r="G15">
        <f t="shared" si="2"/>
        <v>0.51327341016390227</v>
      </c>
      <c r="H15">
        <v>1</v>
      </c>
      <c r="I15">
        <v>1</v>
      </c>
      <c r="J15">
        <f t="shared" si="3"/>
        <v>1.1498252650930683</v>
      </c>
      <c r="K15">
        <f t="shared" si="4"/>
        <v>0.59017473490693206</v>
      </c>
      <c r="L15">
        <f t="shared" si="5"/>
        <v>1.7400000000000002</v>
      </c>
      <c r="M15">
        <f t="shared" si="6"/>
        <v>0.59017473490693206</v>
      </c>
      <c r="N15">
        <f t="shared" si="7"/>
        <v>1.1498252650930683</v>
      </c>
      <c r="O15">
        <v>0.81329999999999991</v>
      </c>
      <c r="P15">
        <f t="shared" si="8"/>
        <v>1.4137775299312287</v>
      </c>
      <c r="Q15">
        <f>SUM($P$2:P15)</f>
        <v>746.47637990569365</v>
      </c>
    </row>
    <row r="16" spans="1:23" x14ac:dyDescent="0.25">
      <c r="A16" t="s">
        <v>98</v>
      </c>
      <c r="B16" s="2">
        <v>43292.625</v>
      </c>
      <c r="C16" s="2">
        <v>43295.305555555555</v>
      </c>
      <c r="D16">
        <v>9.58</v>
      </c>
      <c r="E16">
        <f t="shared" si="0"/>
        <v>2.1500000000000004</v>
      </c>
      <c r="F16" s="3">
        <f t="shared" si="1"/>
        <v>64.333333333313931</v>
      </c>
      <c r="G16">
        <f t="shared" si="2"/>
        <v>0.51628611987970019</v>
      </c>
      <c r="H16">
        <v>1</v>
      </c>
      <c r="I16">
        <v>1</v>
      </c>
      <c r="J16">
        <f t="shared" si="3"/>
        <v>1.4179381924109271</v>
      </c>
      <c r="K16">
        <f t="shared" si="4"/>
        <v>0.73206180758907335</v>
      </c>
      <c r="L16">
        <f t="shared" si="5"/>
        <v>2.1500000000000004</v>
      </c>
      <c r="M16">
        <f t="shared" si="6"/>
        <v>0.73206180758907335</v>
      </c>
      <c r="N16">
        <f t="shared" si="7"/>
        <v>1.4179381924109271</v>
      </c>
      <c r="O16">
        <v>0.82779999999999987</v>
      </c>
      <c r="P16">
        <f t="shared" si="8"/>
        <v>1.7128994834633091</v>
      </c>
      <c r="Q16">
        <f>SUM($P$2:P16)</f>
        <v>748.18927938915692</v>
      </c>
    </row>
    <row r="17" spans="1:14" x14ac:dyDescent="0.25">
      <c r="A17" t="s">
        <v>15</v>
      </c>
      <c r="B17" s="2">
        <v>43292.625</v>
      </c>
      <c r="C17" s="2">
        <v>43295.32916666667</v>
      </c>
      <c r="D17">
        <v>7.43</v>
      </c>
      <c r="E17">
        <f t="shared" si="0"/>
        <v>0</v>
      </c>
      <c r="F17" s="3">
        <f t="shared" si="1"/>
        <v>64.900000000081491</v>
      </c>
      <c r="G17">
        <f t="shared" si="2"/>
        <v>0.51937062097633846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  <row r="25" spans="1:14" x14ac:dyDescent="0.25">
      <c r="E25" t="s">
        <v>129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E25" sqref="E25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8.85546875" bestFit="1" customWidth="1"/>
    <col min="16" max="16" width="35.42578125" bestFit="1" customWidth="1"/>
    <col min="17" max="17" width="24.140625" bestFit="1" customWidth="1"/>
    <col min="18" max="18" width="22.140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51</v>
      </c>
      <c r="E1" t="s">
        <v>52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106</v>
      </c>
      <c r="P1" t="s">
        <v>104</v>
      </c>
      <c r="Q1" t="s">
        <v>108</v>
      </c>
    </row>
    <row r="2" spans="1:18" x14ac:dyDescent="0.25">
      <c r="A2" t="s">
        <v>68</v>
      </c>
      <c r="B2" s="2">
        <v>43299.453472222223</v>
      </c>
      <c r="C2" s="2">
        <v>43302.520833333336</v>
      </c>
      <c r="D2">
        <v>5.69</v>
      </c>
      <c r="E2">
        <f>D2-$D$17</f>
        <v>-2.0199999999999996</v>
      </c>
      <c r="F2" s="3">
        <f>(C2-B2)*24</f>
        <v>73.616666666697711</v>
      </c>
      <c r="G2">
        <f>1-EXP(-$R$3*F2)</f>
        <v>0.56441339714553429</v>
      </c>
      <c r="H2">
        <v>1</v>
      </c>
      <c r="I2">
        <v>1</v>
      </c>
      <c r="J2">
        <f>E2/((1+G2)*(H2/I2))</f>
        <v>-1.2912188067973205</v>
      </c>
      <c r="K2">
        <f>N2*G2*H2</f>
        <v>-0.72878119320267898</v>
      </c>
      <c r="L2">
        <f>M2+N2</f>
        <v>-2.0199999999999996</v>
      </c>
      <c r="M2">
        <f>K2/H2</f>
        <v>-0.72878119320267898</v>
      </c>
      <c r="N2">
        <f>J2/I2</f>
        <v>-1.2912188067973205</v>
      </c>
      <c r="O2">
        <v>0.96530000000000005</v>
      </c>
      <c r="P2">
        <f>N2/O2</f>
        <v>-1.3376347319976385</v>
      </c>
      <c r="Q2">
        <f>SUM($P$2:P2)</f>
        <v>-1.3376347319976385</v>
      </c>
      <c r="R2" t="s">
        <v>14</v>
      </c>
    </row>
    <row r="3" spans="1:18" x14ac:dyDescent="0.25">
      <c r="A3" t="s">
        <v>69</v>
      </c>
      <c r="B3" s="2">
        <v>43299.453472222223</v>
      </c>
      <c r="C3" s="2">
        <v>43302.543749999997</v>
      </c>
      <c r="D3">
        <v>6.72</v>
      </c>
      <c r="E3">
        <f t="shared" ref="E3:E17" si="0">D3-$D$17</f>
        <v>-0.99000000000000021</v>
      </c>
      <c r="F3" s="3">
        <f t="shared" ref="F3:F17" si="1">(C3-B3)*24</f>
        <v>74.166666666569654</v>
      </c>
      <c r="G3">
        <f t="shared" ref="G3:G17" si="2">1-EXP(-$R$3*F3)</f>
        <v>0.5671095637768202</v>
      </c>
      <c r="H3">
        <v>1</v>
      </c>
      <c r="I3">
        <v>1</v>
      </c>
      <c r="J3">
        <f t="shared" ref="J3:J17" si="3">E3/((1+G3)*(H3/I3))</f>
        <v>-0.63173630158573324</v>
      </c>
      <c r="K3">
        <f t="shared" ref="K3:K17" si="4">N3*G3*H3</f>
        <v>-0.35826369841426692</v>
      </c>
      <c r="L3">
        <f t="shared" ref="L3:L17" si="5">M3+N3</f>
        <v>-0.99000000000000021</v>
      </c>
      <c r="M3">
        <f t="shared" ref="M3:M17" si="6">K3/H3</f>
        <v>-0.35826369841426692</v>
      </c>
      <c r="N3">
        <f t="shared" ref="N3:N17" si="7">J3/I3</f>
        <v>-0.63173630158573324</v>
      </c>
      <c r="O3">
        <v>1.0236999999999998</v>
      </c>
      <c r="P3">
        <f t="shared" ref="P3:P16" si="8">N3/O3</f>
        <v>-0.61711077619002963</v>
      </c>
      <c r="Q3">
        <f>SUM($P$2:P3)</f>
        <v>-1.9547455081876681</v>
      </c>
      <c r="R3">
        <f>LN(2)/61.4</f>
        <v>1.1289042028663604E-2</v>
      </c>
    </row>
    <row r="4" spans="1:18" x14ac:dyDescent="0.25">
      <c r="A4" t="s">
        <v>70</v>
      </c>
      <c r="B4" s="2">
        <v>43299.453472222223</v>
      </c>
      <c r="C4" s="2">
        <v>43302.565972222219</v>
      </c>
      <c r="D4">
        <v>6.65</v>
      </c>
      <c r="E4">
        <f t="shared" si="0"/>
        <v>-1.0599999999999996</v>
      </c>
      <c r="F4" s="3">
        <f t="shared" si="1"/>
        <v>74.699999999895226</v>
      </c>
      <c r="G4">
        <f t="shared" si="2"/>
        <v>0.56970808973710962</v>
      </c>
      <c r="H4">
        <v>1</v>
      </c>
      <c r="I4">
        <v>1</v>
      </c>
      <c r="J4">
        <f t="shared" si="3"/>
        <v>-0.6752847914401241</v>
      </c>
      <c r="K4">
        <f t="shared" si="4"/>
        <v>-0.38471520855987557</v>
      </c>
      <c r="L4">
        <f t="shared" si="5"/>
        <v>-1.0599999999999996</v>
      </c>
      <c r="M4">
        <f t="shared" si="6"/>
        <v>-0.38471520855987557</v>
      </c>
      <c r="N4">
        <f t="shared" si="7"/>
        <v>-0.6752847914401241</v>
      </c>
      <c r="O4">
        <v>1.0226999999999995</v>
      </c>
      <c r="P4">
        <f t="shared" si="8"/>
        <v>-0.66029607063667195</v>
      </c>
      <c r="Q4">
        <f>SUM($P$2:P4)</f>
        <v>-2.6150415788243402</v>
      </c>
    </row>
    <row r="5" spans="1:18" x14ac:dyDescent="0.25">
      <c r="A5" t="s">
        <v>71</v>
      </c>
      <c r="B5" s="2">
        <v>43299.453472222223</v>
      </c>
      <c r="C5" s="2">
        <v>43302.588888888888</v>
      </c>
      <c r="D5">
        <v>7.98</v>
      </c>
      <c r="E5">
        <f t="shared" si="0"/>
        <v>0.27000000000000046</v>
      </c>
      <c r="F5" s="3">
        <f t="shared" si="1"/>
        <v>75.249999999941792</v>
      </c>
      <c r="G5">
        <f t="shared" si="2"/>
        <v>0.57237148361315571</v>
      </c>
      <c r="H5">
        <v>1</v>
      </c>
      <c r="I5">
        <v>1</v>
      </c>
      <c r="J5">
        <f t="shared" si="3"/>
        <v>0.17171514671556298</v>
      </c>
      <c r="K5">
        <f t="shared" si="4"/>
        <v>9.8284853284437493E-2</v>
      </c>
      <c r="L5">
        <f t="shared" si="5"/>
        <v>0.27000000000000046</v>
      </c>
      <c r="M5">
        <f t="shared" si="6"/>
        <v>9.8284853284437493E-2</v>
      </c>
      <c r="N5">
        <f t="shared" si="7"/>
        <v>0.17171514671556298</v>
      </c>
      <c r="O5">
        <v>0.91690000000000005</v>
      </c>
      <c r="P5">
        <f t="shared" si="8"/>
        <v>0.18727794384945248</v>
      </c>
      <c r="Q5">
        <f>SUM($P$2:P5)</f>
        <v>-2.4277636349748879</v>
      </c>
    </row>
    <row r="6" spans="1:18" x14ac:dyDescent="0.25">
      <c r="A6" t="s">
        <v>72</v>
      </c>
      <c r="B6" s="2">
        <v>43299.453472222223</v>
      </c>
      <c r="C6" s="2">
        <v>43302.611805555556</v>
      </c>
      <c r="D6">
        <v>9.7899999999999991</v>
      </c>
      <c r="E6">
        <f t="shared" si="0"/>
        <v>2.0799999999999992</v>
      </c>
      <c r="F6" s="3">
        <f t="shared" si="1"/>
        <v>75.799999999988358</v>
      </c>
      <c r="G6">
        <f t="shared" si="2"/>
        <v>0.57501839178084946</v>
      </c>
      <c r="H6">
        <v>1</v>
      </c>
      <c r="I6">
        <v>1</v>
      </c>
      <c r="J6">
        <f t="shared" si="3"/>
        <v>1.3206194993368772</v>
      </c>
      <c r="K6">
        <f t="shared" si="4"/>
        <v>0.75938050066312168</v>
      </c>
      <c r="L6">
        <f t="shared" si="5"/>
        <v>2.0799999999999987</v>
      </c>
      <c r="M6">
        <f t="shared" si="6"/>
        <v>0.75938050066312168</v>
      </c>
      <c r="N6">
        <f t="shared" si="7"/>
        <v>1.3206194993368772</v>
      </c>
      <c r="O6">
        <v>0.79410000000000025</v>
      </c>
      <c r="P6">
        <f t="shared" si="8"/>
        <v>1.6630392889269321</v>
      </c>
      <c r="Q6">
        <f>SUM($P$2:P6)</f>
        <v>-0.76472434604795581</v>
      </c>
    </row>
    <row r="7" spans="1:18" x14ac:dyDescent="0.25">
      <c r="A7" t="s">
        <v>73</v>
      </c>
      <c r="B7" s="2">
        <v>43299.453472222223</v>
      </c>
      <c r="C7" s="2">
        <v>43302.634722222225</v>
      </c>
      <c r="D7">
        <v>73.87</v>
      </c>
      <c r="E7">
        <f t="shared" si="0"/>
        <v>66.160000000000011</v>
      </c>
      <c r="F7" s="3">
        <f t="shared" si="1"/>
        <v>76.350000000034925</v>
      </c>
      <c r="G7">
        <f t="shared" si="2"/>
        <v>0.57764891628239434</v>
      </c>
      <c r="H7">
        <v>1</v>
      </c>
      <c r="I7">
        <v>1</v>
      </c>
      <c r="J7">
        <f t="shared" si="3"/>
        <v>41.935819381095797</v>
      </c>
      <c r="K7">
        <f t="shared" si="4"/>
        <v>24.224180618904217</v>
      </c>
      <c r="L7">
        <f t="shared" si="5"/>
        <v>66.160000000000011</v>
      </c>
      <c r="M7">
        <f t="shared" si="6"/>
        <v>24.224180618904217</v>
      </c>
      <c r="N7">
        <f t="shared" si="7"/>
        <v>41.935819381095797</v>
      </c>
      <c r="O7">
        <v>0.81679999999999975</v>
      </c>
      <c r="P7">
        <f t="shared" si="8"/>
        <v>51.341600613486548</v>
      </c>
      <c r="Q7">
        <f>SUM($P$2:P7)</f>
        <v>50.576876267438593</v>
      </c>
    </row>
    <row r="8" spans="1:18" x14ac:dyDescent="0.25">
      <c r="A8" t="s">
        <v>74</v>
      </c>
      <c r="B8" s="2">
        <v>43299.453472222223</v>
      </c>
      <c r="C8" s="2">
        <v>43302.656944444447</v>
      </c>
      <c r="D8">
        <v>273.68</v>
      </c>
      <c r="E8">
        <f t="shared" si="0"/>
        <v>265.97000000000003</v>
      </c>
      <c r="F8" s="3">
        <f t="shared" si="1"/>
        <v>76.883333333360497</v>
      </c>
      <c r="G8">
        <f t="shared" si="2"/>
        <v>0.58018417731743077</v>
      </c>
      <c r="H8">
        <v>1</v>
      </c>
      <c r="I8">
        <v>1</v>
      </c>
      <c r="J8">
        <f t="shared" si="3"/>
        <v>168.31582281219832</v>
      </c>
      <c r="K8">
        <f t="shared" si="4"/>
        <v>97.654177187801736</v>
      </c>
      <c r="L8">
        <f t="shared" si="5"/>
        <v>265.97000000000003</v>
      </c>
      <c r="M8">
        <f t="shared" si="6"/>
        <v>97.654177187801736</v>
      </c>
      <c r="N8">
        <f t="shared" si="7"/>
        <v>168.31582281219832</v>
      </c>
      <c r="O8">
        <v>0.84669999999999934</v>
      </c>
      <c r="P8">
        <f t="shared" si="8"/>
        <v>198.79038952663097</v>
      </c>
      <c r="Q8">
        <f>SUM($P$2:P8)</f>
        <v>249.36726579406957</v>
      </c>
    </row>
    <row r="9" spans="1:18" x14ac:dyDescent="0.25">
      <c r="A9" t="s">
        <v>75</v>
      </c>
      <c r="B9" s="2">
        <v>43299.453472222223</v>
      </c>
      <c r="C9" s="2">
        <v>43302.679861111108</v>
      </c>
      <c r="D9">
        <v>280.3</v>
      </c>
      <c r="E9">
        <f t="shared" si="0"/>
        <v>272.59000000000003</v>
      </c>
      <c r="F9" s="3">
        <f t="shared" si="1"/>
        <v>77.43333333323244</v>
      </c>
      <c r="G9">
        <f t="shared" si="2"/>
        <v>0.58278272696286326</v>
      </c>
      <c r="H9">
        <v>1</v>
      </c>
      <c r="I9">
        <v>1</v>
      </c>
      <c r="J9">
        <f t="shared" si="3"/>
        <v>172.22199570187487</v>
      </c>
      <c r="K9">
        <f t="shared" si="4"/>
        <v>100.36800429812516</v>
      </c>
      <c r="L9">
        <f t="shared" si="5"/>
        <v>272.59000000000003</v>
      </c>
      <c r="M9">
        <f t="shared" si="6"/>
        <v>100.36800429812516</v>
      </c>
      <c r="N9">
        <f t="shared" si="7"/>
        <v>172.22199570187487</v>
      </c>
      <c r="O9">
        <v>0.78129999999999988</v>
      </c>
      <c r="P9">
        <f t="shared" si="8"/>
        <v>220.43004697539345</v>
      </c>
      <c r="Q9">
        <f>SUM($P$2:P9)</f>
        <v>469.79731276946302</v>
      </c>
    </row>
    <row r="10" spans="1:18" x14ac:dyDescent="0.25">
      <c r="A10" t="s">
        <v>76</v>
      </c>
      <c r="B10" s="2">
        <v>43299.453472222223</v>
      </c>
      <c r="C10" s="2">
        <v>43302.702777777777</v>
      </c>
      <c r="D10">
        <v>178.96</v>
      </c>
      <c r="E10">
        <f t="shared" si="0"/>
        <v>171.25</v>
      </c>
      <c r="F10" s="3">
        <f t="shared" si="1"/>
        <v>77.983333333279006</v>
      </c>
      <c r="G10">
        <f t="shared" si="2"/>
        <v>0.58536519226951722</v>
      </c>
      <c r="H10">
        <v>1</v>
      </c>
      <c r="I10">
        <v>1</v>
      </c>
      <c r="J10">
        <f t="shared" si="3"/>
        <v>108.01927583312738</v>
      </c>
      <c r="K10">
        <f t="shared" si="4"/>
        <v>63.230724166872626</v>
      </c>
      <c r="L10">
        <f t="shared" si="5"/>
        <v>171.25</v>
      </c>
      <c r="M10">
        <f t="shared" si="6"/>
        <v>63.230724166872626</v>
      </c>
      <c r="N10">
        <f t="shared" si="7"/>
        <v>108.01927583312738</v>
      </c>
      <c r="O10">
        <v>0.8158000000000003</v>
      </c>
      <c r="P10">
        <f t="shared" si="8"/>
        <v>132.40901671135981</v>
      </c>
      <c r="Q10">
        <f>SUM($P$2:P10)</f>
        <v>602.20632948082289</v>
      </c>
    </row>
    <row r="11" spans="1:18" x14ac:dyDescent="0.25">
      <c r="A11" t="s">
        <v>77</v>
      </c>
      <c r="B11" s="2">
        <v>43299.453472222223</v>
      </c>
      <c r="C11" s="2">
        <v>43302.725694444445</v>
      </c>
      <c r="D11">
        <v>81.88</v>
      </c>
      <c r="E11">
        <f t="shared" si="0"/>
        <v>74.17</v>
      </c>
      <c r="F11" s="3">
        <f t="shared" si="1"/>
        <v>78.533333333325572</v>
      </c>
      <c r="G11">
        <f t="shared" si="2"/>
        <v>0.58793167279440128</v>
      </c>
      <c r="H11">
        <v>1</v>
      </c>
      <c r="I11">
        <v>1</v>
      </c>
      <c r="J11">
        <f t="shared" si="3"/>
        <v>46.708558857244498</v>
      </c>
      <c r="K11">
        <f t="shared" si="4"/>
        <v>27.461441142755508</v>
      </c>
      <c r="L11">
        <f t="shared" si="5"/>
        <v>74.17</v>
      </c>
      <c r="M11">
        <f t="shared" si="6"/>
        <v>27.461441142755508</v>
      </c>
      <c r="N11">
        <f t="shared" si="7"/>
        <v>46.708558857244498</v>
      </c>
      <c r="O11">
        <v>0.7843</v>
      </c>
      <c r="P11">
        <f t="shared" si="8"/>
        <v>59.554454745944788</v>
      </c>
      <c r="Q11">
        <f>SUM($P$2:P11)</f>
        <v>661.76078422676767</v>
      </c>
    </row>
    <row r="12" spans="1:18" x14ac:dyDescent="0.25">
      <c r="A12" t="s">
        <v>78</v>
      </c>
      <c r="B12" s="2">
        <v>43299.453472222223</v>
      </c>
      <c r="C12" s="2">
        <v>43302.748611111114</v>
      </c>
      <c r="D12">
        <v>43.94</v>
      </c>
      <c r="E12">
        <f t="shared" si="0"/>
        <v>36.229999999999997</v>
      </c>
      <c r="F12" s="3">
        <f t="shared" si="1"/>
        <v>79.083333333372138</v>
      </c>
      <c r="G12">
        <f t="shared" si="2"/>
        <v>0.59048226747911525</v>
      </c>
      <c r="H12">
        <v>1</v>
      </c>
      <c r="I12">
        <v>1</v>
      </c>
      <c r="J12">
        <f t="shared" si="3"/>
        <v>22.77925428079363</v>
      </c>
      <c r="K12">
        <f t="shared" si="4"/>
        <v>13.450745719206365</v>
      </c>
      <c r="L12">
        <f t="shared" si="5"/>
        <v>36.229999999999997</v>
      </c>
      <c r="M12">
        <f t="shared" si="6"/>
        <v>13.450745719206365</v>
      </c>
      <c r="N12">
        <f t="shared" si="7"/>
        <v>22.77925428079363</v>
      </c>
      <c r="O12">
        <v>0.87220000000000031</v>
      </c>
      <c r="P12">
        <f t="shared" si="8"/>
        <v>26.117007889008967</v>
      </c>
      <c r="Q12">
        <f>SUM($P$2:P12)</f>
        <v>687.87779211577663</v>
      </c>
    </row>
    <row r="13" spans="1:18" x14ac:dyDescent="0.25">
      <c r="A13" t="s">
        <v>79</v>
      </c>
      <c r="B13" s="2">
        <v>43299.453472222223</v>
      </c>
      <c r="C13" s="2">
        <v>43302.770833333336</v>
      </c>
      <c r="D13">
        <v>21.73</v>
      </c>
      <c r="E13">
        <f t="shared" si="0"/>
        <v>14.02</v>
      </c>
      <c r="F13" s="3">
        <f t="shared" si="1"/>
        <v>79.616666666697711</v>
      </c>
      <c r="G13">
        <f t="shared" si="2"/>
        <v>0.5929404933259107</v>
      </c>
      <c r="H13">
        <v>1</v>
      </c>
      <c r="I13">
        <v>1</v>
      </c>
      <c r="J13">
        <f t="shared" si="3"/>
        <v>8.8013331689042253</v>
      </c>
      <c r="K13">
        <f t="shared" si="4"/>
        <v>5.2186668310957725</v>
      </c>
      <c r="L13">
        <f t="shared" si="5"/>
        <v>14.019999999999998</v>
      </c>
      <c r="M13">
        <f t="shared" si="6"/>
        <v>5.2186668310957725</v>
      </c>
      <c r="N13">
        <f t="shared" si="7"/>
        <v>8.8013331689042253</v>
      </c>
      <c r="O13">
        <v>0.76739999999999942</v>
      </c>
      <c r="P13">
        <f t="shared" si="8"/>
        <v>11.469029409570279</v>
      </c>
      <c r="Q13">
        <f>SUM($P$2:P13)</f>
        <v>699.34682152534685</v>
      </c>
    </row>
    <row r="14" spans="1:18" x14ac:dyDescent="0.25">
      <c r="A14" t="s">
        <v>80</v>
      </c>
      <c r="B14" s="2">
        <v>43299.453472222223</v>
      </c>
      <c r="C14" s="2">
        <v>43302.793749999997</v>
      </c>
      <c r="D14">
        <v>14.46</v>
      </c>
      <c r="E14">
        <f t="shared" si="0"/>
        <v>6.7500000000000009</v>
      </c>
      <c r="F14" s="3">
        <f t="shared" si="1"/>
        <v>80.166666666569654</v>
      </c>
      <c r="G14">
        <f t="shared" si="2"/>
        <v>0.59546008472667999</v>
      </c>
      <c r="H14">
        <v>1</v>
      </c>
      <c r="I14">
        <v>1</v>
      </c>
      <c r="J14">
        <f t="shared" si="3"/>
        <v>4.2307545419767436</v>
      </c>
      <c r="K14">
        <f t="shared" si="4"/>
        <v>2.5192454580232582</v>
      </c>
      <c r="L14">
        <f t="shared" si="5"/>
        <v>6.7500000000000018</v>
      </c>
      <c r="M14">
        <f t="shared" si="6"/>
        <v>2.5192454580232582</v>
      </c>
      <c r="N14">
        <f t="shared" si="7"/>
        <v>4.2307545419767436</v>
      </c>
      <c r="O14">
        <v>0.81929999999999925</v>
      </c>
      <c r="P14">
        <f t="shared" si="8"/>
        <v>5.1638649358925273</v>
      </c>
      <c r="Q14">
        <f>SUM($P$2:P14)</f>
        <v>704.5106864612394</v>
      </c>
    </row>
    <row r="15" spans="1:18" x14ac:dyDescent="0.25">
      <c r="A15" t="s">
        <v>81</v>
      </c>
      <c r="B15" s="2">
        <v>43299.453472222223</v>
      </c>
      <c r="C15" s="2">
        <v>43302.816666666666</v>
      </c>
      <c r="D15">
        <v>10.4</v>
      </c>
      <c r="E15">
        <f t="shared" si="0"/>
        <v>2.6900000000000004</v>
      </c>
      <c r="F15" s="3">
        <f t="shared" si="1"/>
        <v>80.71666666661622</v>
      </c>
      <c r="G15">
        <f t="shared" si="2"/>
        <v>0.59796408051943584</v>
      </c>
      <c r="H15">
        <v>1</v>
      </c>
      <c r="I15">
        <v>1</v>
      </c>
      <c r="J15">
        <f t="shared" si="3"/>
        <v>1.6833920316441571</v>
      </c>
      <c r="K15">
        <f t="shared" si="4"/>
        <v>1.0066079683558433</v>
      </c>
      <c r="L15">
        <f t="shared" si="5"/>
        <v>2.6900000000000004</v>
      </c>
      <c r="M15">
        <f t="shared" si="6"/>
        <v>1.0066079683558433</v>
      </c>
      <c r="N15">
        <f t="shared" si="7"/>
        <v>1.6833920316441571</v>
      </c>
      <c r="O15">
        <v>0.79220000000000024</v>
      </c>
      <c r="P15">
        <f t="shared" si="8"/>
        <v>2.1249583837972188</v>
      </c>
      <c r="Q15">
        <f>SUM($P$2:P15)</f>
        <v>706.63564484503661</v>
      </c>
    </row>
    <row r="16" spans="1:18" x14ac:dyDescent="0.25">
      <c r="A16" t="s">
        <v>82</v>
      </c>
      <c r="B16" s="2">
        <v>43299.453472222223</v>
      </c>
      <c r="C16" s="2">
        <v>43302.839583333334</v>
      </c>
      <c r="D16">
        <v>10.81</v>
      </c>
      <c r="E16">
        <f t="shared" si="0"/>
        <v>3.1000000000000005</v>
      </c>
      <c r="F16" s="3">
        <f t="shared" si="1"/>
        <v>81.266666666662786</v>
      </c>
      <c r="G16">
        <f t="shared" si="2"/>
        <v>0.60045257723609702</v>
      </c>
      <c r="H16">
        <v>1</v>
      </c>
      <c r="I16">
        <v>1</v>
      </c>
      <c r="J16">
        <f t="shared" si="3"/>
        <v>1.9369521122291224</v>
      </c>
      <c r="K16">
        <f t="shared" si="4"/>
        <v>1.1630478877708783</v>
      </c>
      <c r="L16">
        <f t="shared" si="5"/>
        <v>3.1000000000000005</v>
      </c>
      <c r="M16">
        <f t="shared" si="6"/>
        <v>1.1630478877708783</v>
      </c>
      <c r="N16">
        <f t="shared" si="7"/>
        <v>1.9369521122291224</v>
      </c>
      <c r="O16">
        <v>0.87899999999999956</v>
      </c>
      <c r="P16">
        <f t="shared" si="8"/>
        <v>2.2035860207384794</v>
      </c>
      <c r="Q16">
        <f>SUM($P$2:P16)</f>
        <v>708.83923086577511</v>
      </c>
    </row>
    <row r="17" spans="1:14" x14ac:dyDescent="0.25">
      <c r="A17" t="s">
        <v>15</v>
      </c>
      <c r="B17" s="2">
        <v>43299.453472222223</v>
      </c>
      <c r="C17" s="2">
        <v>43302.862500000003</v>
      </c>
      <c r="D17">
        <v>7.71</v>
      </c>
      <c r="E17">
        <f t="shared" si="0"/>
        <v>0</v>
      </c>
      <c r="F17" s="3">
        <f t="shared" si="1"/>
        <v>81.816666666709352</v>
      </c>
      <c r="G17">
        <f t="shared" si="2"/>
        <v>0.60292567081187265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  <row r="24" spans="1:14" x14ac:dyDescent="0.25">
      <c r="E24" t="s">
        <v>128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E25" sqref="E25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8.85546875" bestFit="1" customWidth="1"/>
    <col min="16" max="16" width="35.42578125" bestFit="1" customWidth="1"/>
    <col min="17" max="17" width="24.140625" bestFit="1" customWidth="1"/>
    <col min="18" max="18" width="22.140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51</v>
      </c>
      <c r="E1" t="s">
        <v>52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106</v>
      </c>
      <c r="P1" t="s">
        <v>109</v>
      </c>
      <c r="Q1" t="s">
        <v>108</v>
      </c>
    </row>
    <row r="2" spans="1:18" x14ac:dyDescent="0.25">
      <c r="A2" t="s">
        <v>53</v>
      </c>
      <c r="B2" s="2">
        <v>43299.625</v>
      </c>
      <c r="C2" s="2">
        <v>43302.886805555558</v>
      </c>
      <c r="D2">
        <v>6.41</v>
      </c>
      <c r="E2">
        <f>D2-$D$17</f>
        <v>-1.2299999999999995</v>
      </c>
      <c r="F2" s="3">
        <f>(C2-B2)*24</f>
        <v>78.28333333338378</v>
      </c>
      <c r="G2">
        <f>1-EXP(-$R$3*F2)</f>
        <v>0.58676706598967321</v>
      </c>
      <c r="H2">
        <v>1</v>
      </c>
      <c r="I2">
        <v>1</v>
      </c>
      <c r="J2">
        <f>E2/((1+G2)*(H2/I2))</f>
        <v>-0.77516103425857485</v>
      </c>
      <c r="K2">
        <f>N2*G2*H2</f>
        <v>-0.45483896574142452</v>
      </c>
      <c r="L2">
        <f>M2+N2</f>
        <v>-1.2299999999999993</v>
      </c>
      <c r="M2">
        <f>K2/H2</f>
        <v>-0.45483896574142452</v>
      </c>
      <c r="N2">
        <f>J2/I2</f>
        <v>-0.77516103425857485</v>
      </c>
      <c r="O2">
        <v>1.0504999999999995</v>
      </c>
      <c r="P2">
        <f>N2/O2</f>
        <v>-0.7378972244251073</v>
      </c>
      <c r="Q2">
        <f>SUM($P$2:P2)</f>
        <v>-0.7378972244251073</v>
      </c>
      <c r="R2" t="s">
        <v>14</v>
      </c>
    </row>
    <row r="3" spans="1:18" x14ac:dyDescent="0.25">
      <c r="A3" t="s">
        <v>54</v>
      </c>
      <c r="B3" s="2">
        <v>43299.625</v>
      </c>
      <c r="C3" s="2">
        <v>43302.909722222219</v>
      </c>
      <c r="D3">
        <v>6.44</v>
      </c>
      <c r="E3">
        <f t="shared" ref="E3:E17" si="0">D3-$D$17</f>
        <v>-1.1999999999999993</v>
      </c>
      <c r="F3" s="3">
        <f t="shared" ref="F3:F17" si="1">(C3-B3)*24</f>
        <v>78.833333333255723</v>
      </c>
      <c r="G3">
        <f t="shared" ref="G3:G17" si="2">1-EXP(-$R$3*F3)</f>
        <v>0.5893248692837274</v>
      </c>
      <c r="H3">
        <v>1</v>
      </c>
      <c r="I3">
        <v>1</v>
      </c>
      <c r="J3">
        <f t="shared" ref="J3:J17" si="3">E3/((1+G3)*(H3/I3))</f>
        <v>-0.75503757802570093</v>
      </c>
      <c r="K3">
        <f t="shared" ref="K3:K17" si="4">N3*G3*H3</f>
        <v>-0.44496242197429831</v>
      </c>
      <c r="L3">
        <f t="shared" ref="L3:L17" si="5">M3+N3</f>
        <v>-1.1999999999999993</v>
      </c>
      <c r="M3">
        <f t="shared" ref="M3:M17" si="6">K3/H3</f>
        <v>-0.44496242197429831</v>
      </c>
      <c r="N3">
        <f t="shared" ref="N3:N17" si="7">J3/I3</f>
        <v>-0.75503757802570093</v>
      </c>
      <c r="O3">
        <v>0.97170000000000023</v>
      </c>
      <c r="P3">
        <f t="shared" ref="P3:P16" si="8">N3/O3</f>
        <v>-0.77702745500226489</v>
      </c>
      <c r="Q3">
        <f>SUM($P$2:P3)</f>
        <v>-1.5149246794273723</v>
      </c>
      <c r="R3">
        <f>LN(2)/61.4</f>
        <v>1.1289042028663604E-2</v>
      </c>
    </row>
    <row r="4" spans="1:18" x14ac:dyDescent="0.25">
      <c r="A4" t="s">
        <v>55</v>
      </c>
      <c r="B4" s="2">
        <v>43299.625</v>
      </c>
      <c r="C4" s="2">
        <v>43302.932638773149</v>
      </c>
      <c r="D4">
        <v>6.78</v>
      </c>
      <c r="E4">
        <f t="shared" si="0"/>
        <v>-0.85999999999999943</v>
      </c>
      <c r="F4" s="3">
        <f t="shared" si="1"/>
        <v>79.383330555574503</v>
      </c>
      <c r="G4">
        <f t="shared" si="2"/>
        <v>0.59186682765000698</v>
      </c>
      <c r="H4">
        <v>1</v>
      </c>
      <c r="I4">
        <v>1</v>
      </c>
      <c r="J4">
        <f t="shared" si="3"/>
        <v>-0.54024619714550759</v>
      </c>
      <c r="K4">
        <f t="shared" si="4"/>
        <v>-0.31975380285449184</v>
      </c>
      <c r="L4">
        <f t="shared" si="5"/>
        <v>-0.85999999999999943</v>
      </c>
      <c r="M4">
        <f t="shared" si="6"/>
        <v>-0.31975380285449184</v>
      </c>
      <c r="N4">
        <f t="shared" si="7"/>
        <v>-0.54024619714550759</v>
      </c>
      <c r="O4">
        <v>1.032</v>
      </c>
      <c r="P4">
        <f t="shared" si="8"/>
        <v>-0.52349437707898017</v>
      </c>
      <c r="Q4">
        <f>SUM($P$2:P4)</f>
        <v>-2.0384190565063527</v>
      </c>
    </row>
    <row r="5" spans="1:18" x14ac:dyDescent="0.25">
      <c r="A5" t="s">
        <v>56</v>
      </c>
      <c r="B5" s="2">
        <v>43299.625</v>
      </c>
      <c r="C5" s="2">
        <v>43302.954861111109</v>
      </c>
      <c r="D5">
        <v>6.75</v>
      </c>
      <c r="E5">
        <f t="shared" si="0"/>
        <v>-0.88999999999999968</v>
      </c>
      <c r="F5" s="3">
        <f t="shared" si="1"/>
        <v>79.916666666627862</v>
      </c>
      <c r="G5">
        <f t="shared" si="2"/>
        <v>0.59431675507233261</v>
      </c>
      <c r="H5">
        <v>1</v>
      </c>
      <c r="I5">
        <v>1</v>
      </c>
      <c r="J5">
        <f t="shared" si="3"/>
        <v>-0.55823285878948259</v>
      </c>
      <c r="K5">
        <f t="shared" si="4"/>
        <v>-0.33176714121051698</v>
      </c>
      <c r="L5">
        <f t="shared" si="5"/>
        <v>-0.88999999999999957</v>
      </c>
      <c r="M5">
        <f t="shared" si="6"/>
        <v>-0.33176714121051698</v>
      </c>
      <c r="N5">
        <f t="shared" si="7"/>
        <v>-0.55823285878948259</v>
      </c>
      <c r="O5">
        <v>0.8855000000000004</v>
      </c>
      <c r="P5">
        <f t="shared" si="8"/>
        <v>-0.63041542494577341</v>
      </c>
      <c r="Q5">
        <f>SUM($P$2:P5)</f>
        <v>-2.6688344814521261</v>
      </c>
    </row>
    <row r="6" spans="1:18" x14ac:dyDescent="0.25">
      <c r="A6" t="s">
        <v>57</v>
      </c>
      <c r="B6" s="2">
        <v>43299.625</v>
      </c>
      <c r="C6" s="2">
        <v>43302.977777777778</v>
      </c>
      <c r="D6">
        <v>18.18</v>
      </c>
      <c r="E6">
        <f t="shared" si="0"/>
        <v>10.54</v>
      </c>
      <c r="F6" s="3">
        <f t="shared" si="1"/>
        <v>80.466666666674428</v>
      </c>
      <c r="G6">
        <f t="shared" si="2"/>
        <v>0.59682782777526744</v>
      </c>
      <c r="H6">
        <v>1</v>
      </c>
      <c r="I6">
        <v>1</v>
      </c>
      <c r="J6">
        <f t="shared" si="3"/>
        <v>6.6005863729745604</v>
      </c>
      <c r="K6">
        <f t="shared" si="4"/>
        <v>3.9394136270254383</v>
      </c>
      <c r="L6">
        <f t="shared" si="5"/>
        <v>10.54</v>
      </c>
      <c r="M6">
        <f t="shared" si="6"/>
        <v>3.9394136270254383</v>
      </c>
      <c r="N6">
        <f t="shared" si="7"/>
        <v>6.6005863729745604</v>
      </c>
      <c r="O6">
        <v>0.82019999999999982</v>
      </c>
      <c r="P6">
        <f t="shared" si="8"/>
        <v>8.0475327639289951</v>
      </c>
      <c r="Q6">
        <f>SUM($P$2:P6)</f>
        <v>5.3786982824768685</v>
      </c>
    </row>
    <row r="7" spans="1:18" x14ac:dyDescent="0.25">
      <c r="A7" t="s">
        <v>58</v>
      </c>
      <c r="B7" s="2">
        <v>43299.625</v>
      </c>
      <c r="C7" s="2">
        <v>43303.000694502312</v>
      </c>
      <c r="D7">
        <v>129.01</v>
      </c>
      <c r="E7">
        <f t="shared" si="0"/>
        <v>121.36999999999999</v>
      </c>
      <c r="F7" s="3">
        <f t="shared" si="1"/>
        <v>81.016668055497576</v>
      </c>
      <c r="G7">
        <f t="shared" si="2"/>
        <v>0.59932336387968421</v>
      </c>
      <c r="H7">
        <v>1</v>
      </c>
      <c r="I7">
        <v>1</v>
      </c>
      <c r="J7">
        <f t="shared" si="3"/>
        <v>75.888342996238848</v>
      </c>
      <c r="K7">
        <f t="shared" si="4"/>
        <v>45.481657003761143</v>
      </c>
      <c r="L7">
        <f t="shared" si="5"/>
        <v>121.36999999999999</v>
      </c>
      <c r="M7">
        <f t="shared" si="6"/>
        <v>45.481657003761143</v>
      </c>
      <c r="N7">
        <f t="shared" si="7"/>
        <v>75.888342996238848</v>
      </c>
      <c r="O7">
        <v>0.80360000000000031</v>
      </c>
      <c r="P7">
        <f t="shared" si="8"/>
        <v>94.435469134194648</v>
      </c>
      <c r="Q7">
        <f>SUM($P$2:P7)</f>
        <v>99.814167416671523</v>
      </c>
    </row>
    <row r="8" spans="1:18" x14ac:dyDescent="0.25">
      <c r="A8" t="s">
        <v>59</v>
      </c>
      <c r="B8" s="2">
        <v>43299.625</v>
      </c>
      <c r="C8" s="2">
        <v>43303.023611226854</v>
      </c>
      <c r="D8">
        <v>245.29</v>
      </c>
      <c r="E8">
        <f t="shared" si="0"/>
        <v>237.65</v>
      </c>
      <c r="F8" s="3">
        <f t="shared" si="1"/>
        <v>81.566669444495346</v>
      </c>
      <c r="G8">
        <f t="shared" si="2"/>
        <v>0.60180345323315687</v>
      </c>
      <c r="H8">
        <v>1</v>
      </c>
      <c r="I8">
        <v>1</v>
      </c>
      <c r="J8">
        <f t="shared" si="3"/>
        <v>148.3640202674778</v>
      </c>
      <c r="K8">
        <f t="shared" si="4"/>
        <v>89.285979732522208</v>
      </c>
      <c r="L8">
        <f t="shared" si="5"/>
        <v>237.65</v>
      </c>
      <c r="M8">
        <f t="shared" si="6"/>
        <v>89.285979732522208</v>
      </c>
      <c r="N8">
        <f t="shared" si="7"/>
        <v>148.3640202674778</v>
      </c>
      <c r="O8">
        <v>0.8149999999999995</v>
      </c>
      <c r="P8">
        <f t="shared" si="8"/>
        <v>182.04174265948208</v>
      </c>
      <c r="Q8">
        <f>SUM($P$2:P8)</f>
        <v>281.85591007615358</v>
      </c>
    </row>
    <row r="9" spans="1:18" x14ac:dyDescent="0.25">
      <c r="A9" t="s">
        <v>60</v>
      </c>
      <c r="B9" s="2">
        <v>43299.625</v>
      </c>
      <c r="C9" s="2">
        <v>43303.04583333333</v>
      </c>
      <c r="D9">
        <v>228.44</v>
      </c>
      <c r="E9">
        <f t="shared" si="0"/>
        <v>220.8</v>
      </c>
      <c r="F9" s="3">
        <f t="shared" si="1"/>
        <v>82.099999999918509</v>
      </c>
      <c r="G9">
        <f t="shared" si="2"/>
        <v>0.60419370860557198</v>
      </c>
      <c r="H9">
        <v>1</v>
      </c>
      <c r="I9">
        <v>1</v>
      </c>
      <c r="J9">
        <f t="shared" si="3"/>
        <v>137.63923821389875</v>
      </c>
      <c r="K9">
        <f t="shared" si="4"/>
        <v>83.160761786101247</v>
      </c>
      <c r="L9">
        <f t="shared" si="5"/>
        <v>220.8</v>
      </c>
      <c r="M9">
        <f t="shared" si="6"/>
        <v>83.160761786101247</v>
      </c>
      <c r="N9">
        <f t="shared" si="7"/>
        <v>137.63923821389875</v>
      </c>
      <c r="O9">
        <v>0.81190000000000051</v>
      </c>
      <c r="P9">
        <f t="shared" si="8"/>
        <v>169.52732875218459</v>
      </c>
      <c r="Q9">
        <f>SUM($P$2:P9)</f>
        <v>451.38323882833816</v>
      </c>
    </row>
    <row r="10" spans="1:18" x14ac:dyDescent="0.25">
      <c r="A10" t="s">
        <v>61</v>
      </c>
      <c r="B10" s="2">
        <v>43299.625</v>
      </c>
      <c r="C10" s="2">
        <v>43303.068749999999</v>
      </c>
      <c r="D10">
        <v>156.88</v>
      </c>
      <c r="E10">
        <f t="shared" si="0"/>
        <v>149.24</v>
      </c>
      <c r="F10" s="3">
        <f t="shared" si="1"/>
        <v>82.649999999965075</v>
      </c>
      <c r="G10">
        <f t="shared" si="2"/>
        <v>0.60664364556105976</v>
      </c>
      <c r="H10">
        <v>1</v>
      </c>
      <c r="I10">
        <v>1</v>
      </c>
      <c r="J10">
        <f t="shared" si="3"/>
        <v>92.889297768257478</v>
      </c>
      <c r="K10">
        <f t="shared" si="4"/>
        <v>56.350702231742531</v>
      </c>
      <c r="L10">
        <f t="shared" si="5"/>
        <v>149.24</v>
      </c>
      <c r="M10">
        <f t="shared" si="6"/>
        <v>56.350702231742531</v>
      </c>
      <c r="N10">
        <f t="shared" si="7"/>
        <v>92.889297768257478</v>
      </c>
      <c r="O10">
        <v>0.87640000000000029</v>
      </c>
      <c r="P10">
        <f t="shared" si="8"/>
        <v>105.98961406692999</v>
      </c>
      <c r="Q10">
        <f>SUM($P$2:P10)</f>
        <v>557.37285289526812</v>
      </c>
    </row>
    <row r="11" spans="1:18" x14ac:dyDescent="0.25">
      <c r="A11" t="s">
        <v>62</v>
      </c>
      <c r="B11" s="2">
        <v>43299.625</v>
      </c>
      <c r="C11" s="2">
        <v>43303.091666666667</v>
      </c>
      <c r="D11">
        <v>90.59</v>
      </c>
      <c r="E11">
        <f t="shared" si="0"/>
        <v>82.95</v>
      </c>
      <c r="F11" s="3">
        <f t="shared" si="1"/>
        <v>83.200000000011642</v>
      </c>
      <c r="G11">
        <f t="shared" si="2"/>
        <v>0.60907841805045271</v>
      </c>
      <c r="H11">
        <v>1</v>
      </c>
      <c r="I11">
        <v>1</v>
      </c>
      <c r="J11">
        <f t="shared" si="3"/>
        <v>51.551247639317417</v>
      </c>
      <c r="K11">
        <f t="shared" si="4"/>
        <v>31.398752360682586</v>
      </c>
      <c r="L11">
        <f t="shared" si="5"/>
        <v>82.95</v>
      </c>
      <c r="M11">
        <f t="shared" si="6"/>
        <v>31.398752360682586</v>
      </c>
      <c r="N11">
        <f t="shared" si="7"/>
        <v>51.551247639317417</v>
      </c>
      <c r="O11">
        <v>0.77029999999999976</v>
      </c>
      <c r="P11">
        <f t="shared" si="8"/>
        <v>66.92359812971236</v>
      </c>
      <c r="Q11">
        <f>SUM($P$2:P11)</f>
        <v>624.29645102498046</v>
      </c>
    </row>
    <row r="12" spans="1:18" x14ac:dyDescent="0.25">
      <c r="A12" t="s">
        <v>63</v>
      </c>
      <c r="B12" s="2">
        <v>43299.625</v>
      </c>
      <c r="C12" s="2">
        <v>43303.114583333336</v>
      </c>
      <c r="D12">
        <v>58.99</v>
      </c>
      <c r="E12">
        <f t="shared" si="0"/>
        <v>51.35</v>
      </c>
      <c r="F12" s="3">
        <f t="shared" si="1"/>
        <v>83.750000000058208</v>
      </c>
      <c r="G12">
        <f t="shared" si="2"/>
        <v>0.61149811993781233</v>
      </c>
      <c r="H12">
        <v>1</v>
      </c>
      <c r="I12">
        <v>1</v>
      </c>
      <c r="J12">
        <f t="shared" si="3"/>
        <v>31.86475948354293</v>
      </c>
      <c r="K12">
        <f t="shared" si="4"/>
        <v>19.485240516457079</v>
      </c>
      <c r="L12">
        <f t="shared" si="5"/>
        <v>51.350000000000009</v>
      </c>
      <c r="M12">
        <f t="shared" si="6"/>
        <v>19.485240516457079</v>
      </c>
      <c r="N12">
        <f t="shared" si="7"/>
        <v>31.86475948354293</v>
      </c>
      <c r="O12">
        <v>0.82199999999999918</v>
      </c>
      <c r="P12">
        <f t="shared" si="8"/>
        <v>38.764914213555912</v>
      </c>
      <c r="Q12">
        <f>SUM($P$2:P12)</f>
        <v>663.06136523853638</v>
      </c>
    </row>
    <row r="13" spans="1:18" x14ac:dyDescent="0.25">
      <c r="A13" t="s">
        <v>64</v>
      </c>
      <c r="B13" s="2">
        <v>43299.625</v>
      </c>
      <c r="C13" s="2">
        <v>43303.137499999997</v>
      </c>
      <c r="D13">
        <v>30.46</v>
      </c>
      <c r="E13">
        <f t="shared" si="0"/>
        <v>22.82</v>
      </c>
      <c r="F13" s="3">
        <f t="shared" si="1"/>
        <v>84.299999999930151</v>
      </c>
      <c r="G13">
        <f t="shared" si="2"/>
        <v>0.61390284450544441</v>
      </c>
      <c r="H13">
        <v>1</v>
      </c>
      <c r="I13">
        <v>1</v>
      </c>
      <c r="J13">
        <f t="shared" si="3"/>
        <v>14.139636767907698</v>
      </c>
      <c r="K13">
        <f t="shared" si="4"/>
        <v>8.6803632320923043</v>
      </c>
      <c r="L13">
        <f t="shared" si="5"/>
        <v>22.82</v>
      </c>
      <c r="M13">
        <f t="shared" si="6"/>
        <v>8.6803632320923043</v>
      </c>
      <c r="N13">
        <f t="shared" si="7"/>
        <v>14.139636767907698</v>
      </c>
      <c r="O13">
        <v>0.81849999999999934</v>
      </c>
      <c r="P13">
        <f t="shared" si="8"/>
        <v>17.275060192923284</v>
      </c>
      <c r="Q13">
        <f>SUM($P$2:P13)</f>
        <v>680.3364254314597</v>
      </c>
    </row>
    <row r="14" spans="1:18" x14ac:dyDescent="0.25">
      <c r="A14" t="s">
        <v>65</v>
      </c>
      <c r="B14" s="2">
        <v>43299.625</v>
      </c>
      <c r="C14" s="2">
        <v>43303.159722222219</v>
      </c>
      <c r="D14">
        <v>24.56</v>
      </c>
      <c r="E14">
        <f t="shared" si="0"/>
        <v>16.919999999999998</v>
      </c>
      <c r="F14" s="3">
        <f t="shared" si="1"/>
        <v>84.833333333255723</v>
      </c>
      <c r="G14">
        <f t="shared" si="2"/>
        <v>0.61622048286793585</v>
      </c>
      <c r="H14">
        <v>1</v>
      </c>
      <c r="I14">
        <v>1</v>
      </c>
      <c r="J14">
        <f t="shared" si="3"/>
        <v>10.468868684287402</v>
      </c>
      <c r="K14">
        <f t="shared" si="4"/>
        <v>6.4511313157125949</v>
      </c>
      <c r="L14">
        <f t="shared" si="5"/>
        <v>16.919999999999998</v>
      </c>
      <c r="M14">
        <f t="shared" si="6"/>
        <v>6.4511313157125949</v>
      </c>
      <c r="N14">
        <f t="shared" si="7"/>
        <v>10.468868684287402</v>
      </c>
      <c r="O14">
        <v>0.81880000000000042</v>
      </c>
      <c r="P14">
        <f t="shared" si="8"/>
        <v>12.78562369844577</v>
      </c>
      <c r="Q14">
        <f>SUM($P$2:P14)</f>
        <v>693.12204912990546</v>
      </c>
    </row>
    <row r="15" spans="1:18" x14ac:dyDescent="0.25">
      <c r="A15" t="s">
        <v>66</v>
      </c>
      <c r="B15" s="2">
        <v>43299.625</v>
      </c>
      <c r="C15" s="2">
        <v>43303.182638888888</v>
      </c>
      <c r="D15">
        <v>19.170000000000002</v>
      </c>
      <c r="E15">
        <f t="shared" si="0"/>
        <v>11.530000000000001</v>
      </c>
      <c r="F15" s="3">
        <f t="shared" si="1"/>
        <v>85.383333333302289</v>
      </c>
      <c r="G15">
        <f t="shared" si="2"/>
        <v>0.61859597725047477</v>
      </c>
      <c r="H15">
        <v>1</v>
      </c>
      <c r="I15">
        <v>1</v>
      </c>
      <c r="J15">
        <f t="shared" si="3"/>
        <v>7.1234577140035453</v>
      </c>
      <c r="K15">
        <f t="shared" si="4"/>
        <v>4.4065422859964558</v>
      </c>
      <c r="L15">
        <f t="shared" si="5"/>
        <v>11.530000000000001</v>
      </c>
      <c r="M15">
        <f t="shared" si="6"/>
        <v>4.4065422859964558</v>
      </c>
      <c r="N15">
        <f t="shared" si="7"/>
        <v>7.1234577140035453</v>
      </c>
      <c r="O15">
        <v>0.76929999999999943</v>
      </c>
      <c r="P15">
        <f t="shared" si="8"/>
        <v>9.259661658655336</v>
      </c>
      <c r="Q15">
        <f>SUM($P$2:P15)</f>
        <v>702.38171078856078</v>
      </c>
    </row>
    <row r="16" spans="1:18" x14ac:dyDescent="0.25">
      <c r="A16" t="s">
        <v>67</v>
      </c>
      <c r="B16" s="2">
        <v>43299.625</v>
      </c>
      <c r="C16" s="2">
        <v>43303.205555555556</v>
      </c>
      <c r="D16">
        <v>14.36</v>
      </c>
      <c r="E16">
        <f t="shared" si="0"/>
        <v>6.72</v>
      </c>
      <c r="F16" s="3">
        <f t="shared" si="1"/>
        <v>85.933333333348855</v>
      </c>
      <c r="G16">
        <f t="shared" si="2"/>
        <v>0.62095676794688792</v>
      </c>
      <c r="H16">
        <v>1</v>
      </c>
      <c r="I16">
        <v>1</v>
      </c>
      <c r="J16">
        <f t="shared" si="3"/>
        <v>4.1456997082726552</v>
      </c>
      <c r="K16">
        <f t="shared" si="4"/>
        <v>2.5743002917273441</v>
      </c>
      <c r="L16">
        <f t="shared" si="5"/>
        <v>6.7199999999999989</v>
      </c>
      <c r="M16">
        <f t="shared" si="6"/>
        <v>2.5743002917273441</v>
      </c>
      <c r="N16">
        <f t="shared" si="7"/>
        <v>4.1456997082726552</v>
      </c>
      <c r="O16">
        <v>0.81850000000000023</v>
      </c>
      <c r="P16">
        <f t="shared" si="8"/>
        <v>5.064996589215216</v>
      </c>
      <c r="Q16">
        <f>SUM($P$2:P16)</f>
        <v>707.44670737777597</v>
      </c>
    </row>
    <row r="17" spans="1:14" x14ac:dyDescent="0.25">
      <c r="A17" t="s">
        <v>15</v>
      </c>
      <c r="B17" s="2">
        <v>43299.625</v>
      </c>
      <c r="C17" s="2">
        <v>43303.228472222225</v>
      </c>
      <c r="D17">
        <v>7.64</v>
      </c>
      <c r="E17">
        <f t="shared" si="0"/>
        <v>0</v>
      </c>
      <c r="F17" s="3">
        <f t="shared" si="1"/>
        <v>86.483333333395422</v>
      </c>
      <c r="G17">
        <f t="shared" si="2"/>
        <v>0.62330294596912905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  <row r="24" spans="1:14" x14ac:dyDescent="0.25">
      <c r="E24" t="s">
        <v>127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workbookViewId="0">
      <selection activeCell="B27" sqref="B27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22.42578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8.85546875" bestFit="1" customWidth="1"/>
    <col min="16" max="16" width="35.42578125" bestFit="1" customWidth="1"/>
    <col min="17" max="17" width="24.140625" bestFit="1" customWidth="1"/>
    <col min="18" max="18" width="22.140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106</v>
      </c>
      <c r="P1" t="s">
        <v>104</v>
      </c>
      <c r="Q1" t="s">
        <v>108</v>
      </c>
    </row>
    <row r="2" spans="1:18" x14ac:dyDescent="0.25">
      <c r="A2" t="s">
        <v>36</v>
      </c>
      <c r="B2" s="2">
        <v>43300.625</v>
      </c>
      <c r="C2" s="2">
        <v>43304.449305555558</v>
      </c>
      <c r="D2" s="1">
        <v>8.08</v>
      </c>
      <c r="E2">
        <f>D2-$D$17</f>
        <v>0.78000000000000025</v>
      </c>
      <c r="F2" s="3">
        <f t="shared" ref="F2:F17" si="0">(C2-B2)*24</f>
        <v>91.78333333338378</v>
      </c>
      <c r="G2">
        <f>1-EXP(-$R$3*F2)</f>
        <v>0.64518044252476181</v>
      </c>
      <c r="H2">
        <v>1</v>
      </c>
      <c r="I2">
        <v>1</v>
      </c>
      <c r="J2">
        <f>E2/((1+G2)*(H2/I2))</f>
        <v>0.47411212766605715</v>
      </c>
      <c r="K2">
        <f>N2*G2*H2</f>
        <v>0.3058878723339431</v>
      </c>
      <c r="L2">
        <f>M2+N2</f>
        <v>0.78000000000000025</v>
      </c>
      <c r="M2">
        <f>K2/H2</f>
        <v>0.3058878723339431</v>
      </c>
      <c r="N2">
        <f>J2/I2</f>
        <v>0.47411212766605715</v>
      </c>
      <c r="O2">
        <v>0.97879999999999967</v>
      </c>
      <c r="P2">
        <f>N2/O2</f>
        <v>0.48438100497145209</v>
      </c>
      <c r="Q2">
        <f>SUM($P$2:P2)</f>
        <v>0.48438100497145209</v>
      </c>
      <c r="R2" t="s">
        <v>14</v>
      </c>
    </row>
    <row r="3" spans="1:18" x14ac:dyDescent="0.25">
      <c r="A3" t="s">
        <v>37</v>
      </c>
      <c r="B3" s="2">
        <v>43300.625</v>
      </c>
      <c r="C3" s="2">
        <v>43304.472222222219</v>
      </c>
      <c r="D3" s="1">
        <v>7.33</v>
      </c>
      <c r="E3">
        <f t="shared" ref="E3:E17" si="1">D3-$D$17</f>
        <v>3.0000000000000249E-2</v>
      </c>
      <c r="F3" s="3">
        <f t="shared" si="0"/>
        <v>92.333333333255723</v>
      </c>
      <c r="G3">
        <f t="shared" ref="G3:G17" si="2">1-EXP(-$R$3*F3)</f>
        <v>0.64737668236483792</v>
      </c>
      <c r="H3">
        <v>1</v>
      </c>
      <c r="I3">
        <v>1</v>
      </c>
      <c r="J3">
        <f t="shared" ref="J3:J17" si="3">E3/((1+G3)*(H3/I3))</f>
        <v>1.8210771295448184E-2</v>
      </c>
      <c r="K3">
        <f t="shared" ref="K3:K17" si="4">N3*G3*H3</f>
        <v>1.1789228704552067E-2</v>
      </c>
      <c r="L3">
        <f t="shared" ref="L3:L17" si="5">M3+N3</f>
        <v>3.0000000000000249E-2</v>
      </c>
      <c r="M3">
        <f t="shared" ref="M3:M17" si="6">K3/H3</f>
        <v>1.1789228704552067E-2</v>
      </c>
      <c r="N3">
        <f t="shared" ref="N3:N17" si="7">J3/I3</f>
        <v>1.8210771295448184E-2</v>
      </c>
      <c r="O3">
        <v>1.0229000000000008</v>
      </c>
      <c r="P3">
        <f t="shared" ref="P3:P16" si="8">N3/O3</f>
        <v>1.7803080746356604E-2</v>
      </c>
      <c r="Q3">
        <f>SUM($P$2:P3)</f>
        <v>0.5021840857178087</v>
      </c>
      <c r="R3">
        <f>LN(2)/61.4</f>
        <v>1.1289042028663604E-2</v>
      </c>
    </row>
    <row r="4" spans="1:18" x14ac:dyDescent="0.25">
      <c r="A4" t="s">
        <v>38</v>
      </c>
      <c r="B4" s="2">
        <v>43300.625</v>
      </c>
      <c r="C4" s="2">
        <v>43304.495138888888</v>
      </c>
      <c r="D4" s="1">
        <v>6.55</v>
      </c>
      <c r="E4">
        <f t="shared" si="1"/>
        <v>-0.75</v>
      </c>
      <c r="F4" s="3">
        <f t="shared" si="0"/>
        <v>92.883333333302289</v>
      </c>
      <c r="G4">
        <f t="shared" si="2"/>
        <v>0.64955932805800642</v>
      </c>
      <c r="H4">
        <v>1</v>
      </c>
      <c r="I4">
        <v>1</v>
      </c>
      <c r="J4">
        <f t="shared" si="3"/>
        <v>-0.45466688420534723</v>
      </c>
      <c r="K4">
        <f t="shared" si="4"/>
        <v>-0.29533311579465277</v>
      </c>
      <c r="L4">
        <f t="shared" si="5"/>
        <v>-0.75</v>
      </c>
      <c r="M4">
        <f t="shared" si="6"/>
        <v>-0.29533311579465277</v>
      </c>
      <c r="N4">
        <f t="shared" si="7"/>
        <v>-0.45466688420534723</v>
      </c>
      <c r="O4">
        <v>1.0179999999999998</v>
      </c>
      <c r="P4">
        <f t="shared" si="8"/>
        <v>-0.44662758762804255</v>
      </c>
      <c r="Q4">
        <f>SUM($P$2:P4)</f>
        <v>5.5556498089766149E-2</v>
      </c>
    </row>
    <row r="5" spans="1:18" x14ac:dyDescent="0.25">
      <c r="A5" t="s">
        <v>39</v>
      </c>
      <c r="B5" s="2">
        <v>43300.625</v>
      </c>
      <c r="C5" s="2">
        <v>43304.518055555556</v>
      </c>
      <c r="D5" s="1">
        <v>7.47</v>
      </c>
      <c r="E5">
        <f t="shared" si="1"/>
        <v>0.16999999999999993</v>
      </c>
      <c r="F5" s="3">
        <f t="shared" si="0"/>
        <v>93.433333333348855</v>
      </c>
      <c r="G5">
        <f t="shared" si="2"/>
        <v>0.65172846374777005</v>
      </c>
      <c r="H5">
        <v>1</v>
      </c>
      <c r="I5">
        <v>1</v>
      </c>
      <c r="J5">
        <f t="shared" si="3"/>
        <v>0.10292248619017566</v>
      </c>
      <c r="K5">
        <f t="shared" si="4"/>
        <v>6.7077513809824255E-2</v>
      </c>
      <c r="L5">
        <f t="shared" si="5"/>
        <v>0.16999999999999993</v>
      </c>
      <c r="M5">
        <f t="shared" si="6"/>
        <v>6.7077513809824255E-2</v>
      </c>
      <c r="N5">
        <f t="shared" si="7"/>
        <v>0.10292248619017566</v>
      </c>
      <c r="O5">
        <v>0.86490000000000045</v>
      </c>
      <c r="P5">
        <f t="shared" si="8"/>
        <v>0.11899929031122165</v>
      </c>
      <c r="Q5">
        <f>SUM($P$2:P5)</f>
        <v>0.17455578840098779</v>
      </c>
    </row>
    <row r="6" spans="1:18" x14ac:dyDescent="0.25">
      <c r="A6" t="s">
        <v>40</v>
      </c>
      <c r="B6" s="2">
        <v>43300.625</v>
      </c>
      <c r="C6" s="2">
        <v>43304.540277777778</v>
      </c>
      <c r="D6" s="1">
        <v>23.98</v>
      </c>
      <c r="E6">
        <f t="shared" si="1"/>
        <v>16.68</v>
      </c>
      <c r="F6" s="3">
        <f t="shared" si="0"/>
        <v>93.966666666674428</v>
      </c>
      <c r="G6">
        <f t="shared" si="2"/>
        <v>0.65381904499524923</v>
      </c>
      <c r="H6">
        <v>1</v>
      </c>
      <c r="I6">
        <v>1</v>
      </c>
      <c r="J6">
        <f t="shared" si="3"/>
        <v>10.085746714839599</v>
      </c>
      <c r="K6">
        <f t="shared" si="4"/>
        <v>6.5942532851603994</v>
      </c>
      <c r="L6">
        <f t="shared" si="5"/>
        <v>16.68</v>
      </c>
      <c r="M6">
        <f t="shared" si="6"/>
        <v>6.5942532851603994</v>
      </c>
      <c r="N6">
        <f t="shared" si="7"/>
        <v>10.085746714839599</v>
      </c>
      <c r="O6">
        <v>0.81669999999999998</v>
      </c>
      <c r="P6">
        <f t="shared" si="8"/>
        <v>12.349389879808497</v>
      </c>
      <c r="Q6">
        <f>SUM($P$2:P6)</f>
        <v>12.523945668209484</v>
      </c>
    </row>
    <row r="7" spans="1:18" x14ac:dyDescent="0.25">
      <c r="A7" t="s">
        <v>41</v>
      </c>
      <c r="B7" s="2">
        <v>43300.625</v>
      </c>
      <c r="C7" s="2">
        <v>43304.563194444447</v>
      </c>
      <c r="D7" s="1">
        <v>105.87</v>
      </c>
      <c r="E7">
        <f t="shared" si="1"/>
        <v>98.570000000000007</v>
      </c>
      <c r="F7" s="3">
        <f t="shared" si="0"/>
        <v>94.516666666720994</v>
      </c>
      <c r="G7">
        <f t="shared" si="2"/>
        <v>0.65596181415630572</v>
      </c>
      <c r="H7">
        <v>1</v>
      </c>
      <c r="I7">
        <v>1</v>
      </c>
      <c r="J7">
        <f t="shared" si="3"/>
        <v>59.524319436206525</v>
      </c>
      <c r="K7">
        <f t="shared" si="4"/>
        <v>39.045680563793482</v>
      </c>
      <c r="L7">
        <f t="shared" si="5"/>
        <v>98.570000000000007</v>
      </c>
      <c r="M7">
        <f t="shared" si="6"/>
        <v>39.045680563793482</v>
      </c>
      <c r="N7">
        <f t="shared" si="7"/>
        <v>59.524319436206525</v>
      </c>
      <c r="O7">
        <v>0.81229999999999958</v>
      </c>
      <c r="P7">
        <f t="shared" si="8"/>
        <v>73.278738687931252</v>
      </c>
      <c r="Q7">
        <f>SUM($P$2:P7)</f>
        <v>85.80268435614073</v>
      </c>
    </row>
    <row r="8" spans="1:18" x14ac:dyDescent="0.25">
      <c r="A8" t="s">
        <v>42</v>
      </c>
      <c r="B8" s="2">
        <v>43300.625</v>
      </c>
      <c r="C8" s="2">
        <v>43304.586111111108</v>
      </c>
      <c r="D8" s="1">
        <v>187.21</v>
      </c>
      <c r="E8">
        <f t="shared" si="1"/>
        <v>179.91</v>
      </c>
      <c r="F8" s="3">
        <f t="shared" si="0"/>
        <v>95.066666666592937</v>
      </c>
      <c r="G8">
        <f t="shared" si="2"/>
        <v>0.65809132013854055</v>
      </c>
      <c r="H8">
        <v>1</v>
      </c>
      <c r="I8">
        <v>1</v>
      </c>
      <c r="J8">
        <f t="shared" si="3"/>
        <v>108.50427706537162</v>
      </c>
      <c r="K8">
        <f t="shared" si="4"/>
        <v>71.405722934628386</v>
      </c>
      <c r="L8">
        <f t="shared" si="5"/>
        <v>179.91000000000003</v>
      </c>
      <c r="M8">
        <f t="shared" si="6"/>
        <v>71.405722934628386</v>
      </c>
      <c r="N8">
        <f t="shared" si="7"/>
        <v>108.50427706537162</v>
      </c>
      <c r="O8">
        <v>0.8329999999999993</v>
      </c>
      <c r="P8">
        <f t="shared" si="8"/>
        <v>130.25723537259509</v>
      </c>
      <c r="Q8">
        <f>SUM($P$2:P8)</f>
        <v>216.05991972873582</v>
      </c>
    </row>
    <row r="9" spans="1:18" x14ac:dyDescent="0.25">
      <c r="A9" t="s">
        <v>43</v>
      </c>
      <c r="B9" s="2">
        <v>43300.625</v>
      </c>
      <c r="C9" s="2">
        <v>43304.609027777777</v>
      </c>
      <c r="D9" s="1">
        <v>171.21</v>
      </c>
      <c r="E9">
        <f t="shared" si="1"/>
        <v>163.91</v>
      </c>
      <c r="F9" s="3">
        <f t="shared" si="0"/>
        <v>95.616666666639503</v>
      </c>
      <c r="G9">
        <f t="shared" si="2"/>
        <v>0.66020764503889406</v>
      </c>
      <c r="H9">
        <v>1</v>
      </c>
      <c r="I9">
        <v>1</v>
      </c>
      <c r="J9">
        <f t="shared" si="3"/>
        <v>98.728614152454426</v>
      </c>
      <c r="K9">
        <f t="shared" si="4"/>
        <v>65.18138584754557</v>
      </c>
      <c r="L9">
        <f t="shared" si="5"/>
        <v>163.91</v>
      </c>
      <c r="M9">
        <f t="shared" si="6"/>
        <v>65.18138584754557</v>
      </c>
      <c r="N9">
        <f t="shared" si="7"/>
        <v>98.728614152454426</v>
      </c>
      <c r="O9">
        <v>0.77660000000000018</v>
      </c>
      <c r="P9">
        <f t="shared" si="8"/>
        <v>127.12929970699768</v>
      </c>
      <c r="Q9">
        <f>SUM($P$2:P9)</f>
        <v>343.18921943573349</v>
      </c>
    </row>
    <row r="10" spans="1:18" x14ac:dyDescent="0.25">
      <c r="A10" t="s">
        <v>44</v>
      </c>
      <c r="B10" s="2">
        <v>43300.625</v>
      </c>
      <c r="C10" s="2">
        <v>43304.631944444445</v>
      </c>
      <c r="D10" s="1">
        <v>173.56</v>
      </c>
      <c r="E10">
        <f t="shared" si="1"/>
        <v>166.26</v>
      </c>
      <c r="F10" s="3">
        <f t="shared" si="0"/>
        <v>96.166666666686069</v>
      </c>
      <c r="G10">
        <f t="shared" si="2"/>
        <v>0.66231087044412607</v>
      </c>
      <c r="H10">
        <v>1</v>
      </c>
      <c r="I10">
        <v>1</v>
      </c>
      <c r="J10">
        <f t="shared" si="3"/>
        <v>100.0173932301722</v>
      </c>
      <c r="K10">
        <f t="shared" si="4"/>
        <v>66.242606769827788</v>
      </c>
      <c r="L10">
        <f t="shared" si="5"/>
        <v>166.26</v>
      </c>
      <c r="M10">
        <f t="shared" si="6"/>
        <v>66.242606769827788</v>
      </c>
      <c r="N10">
        <f t="shared" si="7"/>
        <v>100.0173932301722</v>
      </c>
      <c r="O10">
        <v>0.82289999999999974</v>
      </c>
      <c r="P10">
        <f t="shared" si="8"/>
        <v>121.54258504091899</v>
      </c>
      <c r="Q10">
        <f>SUM($P$2:P10)</f>
        <v>464.73180447665248</v>
      </c>
    </row>
    <row r="11" spans="1:18" x14ac:dyDescent="0.25">
      <c r="A11" t="s">
        <v>45</v>
      </c>
      <c r="B11" s="2">
        <v>43300.625</v>
      </c>
      <c r="C11" s="2">
        <v>43304.654166666667</v>
      </c>
      <c r="D11" s="1">
        <v>158.86000000000001</v>
      </c>
      <c r="E11">
        <f t="shared" si="1"/>
        <v>151.56</v>
      </c>
      <c r="F11" s="3">
        <f t="shared" si="0"/>
        <v>96.700000000011642</v>
      </c>
      <c r="G11">
        <f t="shared" si="2"/>
        <v>0.66433792832351535</v>
      </c>
      <c r="H11">
        <v>1</v>
      </c>
      <c r="I11">
        <v>1</v>
      </c>
      <c r="J11">
        <f t="shared" si="3"/>
        <v>91.063237471651036</v>
      </c>
      <c r="K11">
        <f t="shared" si="4"/>
        <v>60.49676252834896</v>
      </c>
      <c r="L11">
        <f t="shared" si="5"/>
        <v>151.56</v>
      </c>
      <c r="M11">
        <f t="shared" si="6"/>
        <v>60.49676252834896</v>
      </c>
      <c r="N11">
        <f t="shared" si="7"/>
        <v>91.063237471651036</v>
      </c>
      <c r="O11">
        <v>0.79900000000000038</v>
      </c>
      <c r="P11">
        <f t="shared" si="8"/>
        <v>113.9715112285995</v>
      </c>
      <c r="Q11">
        <f>SUM($P$2:P11)</f>
        <v>578.70331570525195</v>
      </c>
    </row>
    <row r="12" spans="1:18" x14ac:dyDescent="0.25">
      <c r="A12" t="s">
        <v>46</v>
      </c>
      <c r="B12" s="2">
        <v>43300.625</v>
      </c>
      <c r="C12" s="2">
        <v>43304.677083333336</v>
      </c>
      <c r="D12" s="1">
        <v>97.2</v>
      </c>
      <c r="E12">
        <f t="shared" si="1"/>
        <v>89.9</v>
      </c>
      <c r="F12" s="3">
        <f t="shared" si="0"/>
        <v>97.250000000058208</v>
      </c>
      <c r="G12">
        <f t="shared" si="2"/>
        <v>0.66641558836034442</v>
      </c>
      <c r="H12">
        <v>1</v>
      </c>
      <c r="I12">
        <v>1</v>
      </c>
      <c r="J12">
        <f t="shared" si="3"/>
        <v>53.948127122632329</v>
      </c>
      <c r="K12">
        <f t="shared" si="4"/>
        <v>35.951872877367677</v>
      </c>
      <c r="L12">
        <f t="shared" si="5"/>
        <v>89.9</v>
      </c>
      <c r="M12">
        <f t="shared" si="6"/>
        <v>35.951872877367677</v>
      </c>
      <c r="N12">
        <f t="shared" si="7"/>
        <v>53.948127122632329</v>
      </c>
      <c r="O12">
        <v>0.80820000000000025</v>
      </c>
      <c r="P12">
        <f t="shared" si="8"/>
        <v>66.750961547429242</v>
      </c>
      <c r="Q12">
        <f>SUM($P$2:P12)</f>
        <v>645.45427725268121</v>
      </c>
    </row>
    <row r="13" spans="1:18" x14ac:dyDescent="0.25">
      <c r="A13" t="s">
        <v>47</v>
      </c>
      <c r="B13" s="2">
        <v>43300.625</v>
      </c>
      <c r="C13" s="2">
        <v>43304.7</v>
      </c>
      <c r="D13" s="1">
        <v>52.16</v>
      </c>
      <c r="E13">
        <f t="shared" si="1"/>
        <v>44.86</v>
      </c>
      <c r="F13" s="3">
        <f t="shared" si="0"/>
        <v>97.799999999930151</v>
      </c>
      <c r="G13">
        <f t="shared" si="2"/>
        <v>0.6684803882267456</v>
      </c>
      <c r="H13">
        <v>1</v>
      </c>
      <c r="I13">
        <v>1</v>
      </c>
      <c r="J13">
        <f t="shared" si="3"/>
        <v>26.886740962941154</v>
      </c>
      <c r="K13">
        <f t="shared" si="4"/>
        <v>17.973259037058845</v>
      </c>
      <c r="L13">
        <f t="shared" si="5"/>
        <v>44.86</v>
      </c>
      <c r="M13">
        <f t="shared" si="6"/>
        <v>17.973259037058845</v>
      </c>
      <c r="N13">
        <f t="shared" si="7"/>
        <v>26.886740962941154</v>
      </c>
      <c r="O13">
        <v>0.78570000000000029</v>
      </c>
      <c r="P13">
        <f t="shared" si="8"/>
        <v>34.220110682119312</v>
      </c>
      <c r="Q13">
        <f>SUM($P$2:P13)</f>
        <v>679.67438793480051</v>
      </c>
    </row>
    <row r="14" spans="1:18" x14ac:dyDescent="0.25">
      <c r="A14" t="s">
        <v>48</v>
      </c>
      <c r="B14" s="2">
        <v>43300.625</v>
      </c>
      <c r="C14" s="2">
        <v>43304.722916666666</v>
      </c>
      <c r="D14" s="1">
        <v>40.9</v>
      </c>
      <c r="E14">
        <f t="shared" si="1"/>
        <v>33.6</v>
      </c>
      <c r="F14" s="3">
        <f t="shared" si="0"/>
        <v>98.349999999976717</v>
      </c>
      <c r="G14">
        <f t="shared" si="2"/>
        <v>0.6705324075251019</v>
      </c>
      <c r="H14">
        <v>1</v>
      </c>
      <c r="I14">
        <v>1</v>
      </c>
      <c r="J14">
        <f t="shared" si="3"/>
        <v>20.113348204826803</v>
      </c>
      <c r="K14">
        <f t="shared" si="4"/>
        <v>13.486651795173202</v>
      </c>
      <c r="L14">
        <f t="shared" si="5"/>
        <v>33.600000000000009</v>
      </c>
      <c r="M14">
        <f t="shared" si="6"/>
        <v>13.486651795173202</v>
      </c>
      <c r="N14">
        <f t="shared" si="7"/>
        <v>20.113348204826803</v>
      </c>
      <c r="O14">
        <v>0.8393000000000006</v>
      </c>
      <c r="P14">
        <f t="shared" si="8"/>
        <v>23.96443250902751</v>
      </c>
      <c r="Q14">
        <f>SUM($P$2:P14)</f>
        <v>703.63882044382797</v>
      </c>
    </row>
    <row r="15" spans="1:18" x14ac:dyDescent="0.25">
      <c r="A15" t="s">
        <v>49</v>
      </c>
      <c r="B15" s="2">
        <v>43300.625</v>
      </c>
      <c r="C15" s="2">
        <v>43304.745138888888</v>
      </c>
      <c r="D15" s="1">
        <v>29.27</v>
      </c>
      <c r="E15">
        <f t="shared" si="1"/>
        <v>21.97</v>
      </c>
      <c r="F15" s="3">
        <f t="shared" si="0"/>
        <v>98.883333333302289</v>
      </c>
      <c r="G15">
        <f t="shared" si="2"/>
        <v>0.67251011370773206</v>
      </c>
      <c r="H15">
        <v>1</v>
      </c>
      <c r="I15">
        <v>1</v>
      </c>
      <c r="J15">
        <f t="shared" si="3"/>
        <v>13.135944482449458</v>
      </c>
      <c r="K15">
        <f t="shared" si="4"/>
        <v>8.8340555175505404</v>
      </c>
      <c r="L15">
        <f t="shared" si="5"/>
        <v>21.97</v>
      </c>
      <c r="M15">
        <f t="shared" si="6"/>
        <v>8.8340555175505404</v>
      </c>
      <c r="N15">
        <f t="shared" si="7"/>
        <v>13.135944482449458</v>
      </c>
      <c r="O15">
        <v>0.78149999999999942</v>
      </c>
      <c r="P15">
        <f t="shared" si="8"/>
        <v>16.808630175879038</v>
      </c>
      <c r="Q15">
        <f>SUM($P$2:P15)</f>
        <v>720.44745061970696</v>
      </c>
    </row>
    <row r="16" spans="1:18" x14ac:dyDescent="0.25">
      <c r="A16" t="s">
        <v>50</v>
      </c>
      <c r="B16" s="2">
        <v>43300.625</v>
      </c>
      <c r="C16" s="2">
        <v>43304.768055555556</v>
      </c>
      <c r="D16" s="1">
        <v>19.34</v>
      </c>
      <c r="E16">
        <f t="shared" si="1"/>
        <v>12.04</v>
      </c>
      <c r="F16" s="3">
        <f t="shared" si="0"/>
        <v>99.433333333348855</v>
      </c>
      <c r="G16">
        <f t="shared" si="2"/>
        <v>0.67453719006407109</v>
      </c>
      <c r="H16">
        <v>1</v>
      </c>
      <c r="I16">
        <v>1</v>
      </c>
      <c r="J16">
        <f t="shared" si="3"/>
        <v>7.1900463432163759</v>
      </c>
      <c r="K16">
        <f t="shared" si="4"/>
        <v>4.8499536567836241</v>
      </c>
      <c r="L16">
        <f t="shared" si="5"/>
        <v>12.04</v>
      </c>
      <c r="M16">
        <f t="shared" si="6"/>
        <v>4.8499536567836241</v>
      </c>
      <c r="N16">
        <f t="shared" si="7"/>
        <v>7.1900463432163759</v>
      </c>
      <c r="O16">
        <v>0.82379999999999942</v>
      </c>
      <c r="P16">
        <f t="shared" si="8"/>
        <v>8.7279028201218516</v>
      </c>
      <c r="Q16">
        <f>SUM($P$2:P16)</f>
        <v>729.17535343982877</v>
      </c>
    </row>
    <row r="17" spans="1:14" x14ac:dyDescent="0.25">
      <c r="A17" t="s">
        <v>15</v>
      </c>
      <c r="B17" s="2">
        <v>43300.625</v>
      </c>
      <c r="C17" s="2">
        <v>43304.790972222225</v>
      </c>
      <c r="D17" s="1">
        <v>7.3</v>
      </c>
      <c r="E17">
        <f t="shared" si="1"/>
        <v>0</v>
      </c>
      <c r="F17" s="3">
        <f t="shared" si="0"/>
        <v>99.983333333395422</v>
      </c>
      <c r="G17">
        <f t="shared" si="2"/>
        <v>0.6765517193503281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  <row r="26" spans="1:14" x14ac:dyDescent="0.25">
      <c r="B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workbookViewId="0">
      <selection activeCell="P29" sqref="P29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5" max="15" width="19" bestFit="1" customWidth="1"/>
    <col min="16" max="16" width="35.42578125" bestFit="1" customWidth="1"/>
    <col min="17" max="17" width="24.7109375" bestFit="1" customWidth="1"/>
    <col min="18" max="18" width="22.140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51</v>
      </c>
      <c r="E1" t="s">
        <v>52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s="5" t="s">
        <v>110</v>
      </c>
      <c r="P1" s="6" t="s">
        <v>104</v>
      </c>
      <c r="Q1" s="6" t="s">
        <v>105</v>
      </c>
    </row>
    <row r="2" spans="1:18" x14ac:dyDescent="0.25">
      <c r="A2" t="s">
        <v>111</v>
      </c>
      <c r="B2" s="2">
        <v>43306.628472222219</v>
      </c>
      <c r="C2" s="2">
        <v>43306.76458333333</v>
      </c>
      <c r="D2" s="4">
        <v>8.08</v>
      </c>
      <c r="E2">
        <f>D2-$D$17</f>
        <v>-7.0000000000000284E-2</v>
      </c>
      <c r="F2" s="3">
        <f>(C2-B2)*24</f>
        <v>3.2666666666627862</v>
      </c>
      <c r="G2">
        <f>1-EXP(-$R$3*F2)</f>
        <v>3.620584303683394E-2</v>
      </c>
      <c r="H2">
        <v>1</v>
      </c>
      <c r="I2">
        <v>1</v>
      </c>
      <c r="J2">
        <f>E2/((1+G2)*(H2/I2))</f>
        <v>-6.7554145221618872E-2</v>
      </c>
      <c r="K2">
        <f>N2*G2*H2</f>
        <v>-2.4458547783814183E-3</v>
      </c>
      <c r="L2">
        <f>M2+N2</f>
        <v>-7.0000000000000284E-2</v>
      </c>
      <c r="M2">
        <f>K2/H2</f>
        <v>-2.4458547783814183E-3</v>
      </c>
      <c r="N2">
        <f>J2/I2</f>
        <v>-6.7554145221618872E-2</v>
      </c>
      <c r="O2">
        <v>1.0190000000000001</v>
      </c>
      <c r="P2">
        <f>N2/O2</f>
        <v>-6.6294548794522928E-2</v>
      </c>
      <c r="Q2">
        <f>SUM($P$2:P2)</f>
        <v>-6.6294548794522928E-2</v>
      </c>
      <c r="R2" t="s">
        <v>14</v>
      </c>
    </row>
    <row r="3" spans="1:18" x14ac:dyDescent="0.25">
      <c r="A3" t="s">
        <v>112</v>
      </c>
      <c r="B3" s="2">
        <v>43306.628472222219</v>
      </c>
      <c r="C3" s="2">
        <v>43306.786805555559</v>
      </c>
      <c r="D3" s="4">
        <v>7.06</v>
      </c>
      <c r="E3">
        <f t="shared" ref="E3:E17" si="0">D3-$D$17</f>
        <v>-1.0900000000000007</v>
      </c>
      <c r="F3" s="3">
        <f t="shared" ref="F3:F17" si="1">(C3-B3)*24</f>
        <v>3.8000000001629815</v>
      </c>
      <c r="G3">
        <f t="shared" ref="G3:G17" si="2">1-EXP(-$R$3*F3)</f>
        <v>4.1991242594079714E-2</v>
      </c>
      <c r="H3">
        <v>1</v>
      </c>
      <c r="I3">
        <v>1</v>
      </c>
      <c r="J3">
        <f t="shared" ref="J3:J17" si="3">E3/((1+G3)*(H3/I3))</f>
        <v>-1.0460740507630382</v>
      </c>
      <c r="K3">
        <f t="shared" ref="K3:K17" si="4">N3*G3*H3</f>
        <v>-4.3925949236962393E-2</v>
      </c>
      <c r="L3">
        <f t="shared" ref="L3:L17" si="5">M3+N3</f>
        <v>-1.0900000000000005</v>
      </c>
      <c r="M3">
        <f t="shared" ref="M3:M17" si="6">K3/H3</f>
        <v>-4.3925949236962393E-2</v>
      </c>
      <c r="N3">
        <f t="shared" ref="N3:N17" si="7">J3/I3</f>
        <v>-1.0460740507630382</v>
      </c>
      <c r="O3">
        <v>0.73390000000000022</v>
      </c>
      <c r="P3">
        <f t="shared" ref="P3:P16" si="8">N3/O3</f>
        <v>-1.4253631976604957</v>
      </c>
      <c r="Q3">
        <f>SUM($P$2:P3)</f>
        <v>-1.4916577464550187</v>
      </c>
      <c r="R3">
        <f>LN(2)/61.4</f>
        <v>1.1289042028663604E-2</v>
      </c>
    </row>
    <row r="4" spans="1:18" x14ac:dyDescent="0.25">
      <c r="A4" t="s">
        <v>113</v>
      </c>
      <c r="B4" s="2">
        <v>43306.628472164353</v>
      </c>
      <c r="C4" s="2">
        <v>43306.793055555558</v>
      </c>
      <c r="D4" s="4">
        <v>7.26</v>
      </c>
      <c r="E4">
        <f t="shared" si="0"/>
        <v>-0.89000000000000057</v>
      </c>
      <c r="F4" s="3">
        <f t="shared" si="1"/>
        <v>3.9500013889046386</v>
      </c>
      <c r="G4">
        <f t="shared" si="2"/>
        <v>4.361213500802319E-2</v>
      </c>
      <c r="H4">
        <v>1</v>
      </c>
      <c r="I4">
        <v>1</v>
      </c>
      <c r="J4">
        <f t="shared" si="3"/>
        <v>-0.8528072548650063</v>
      </c>
      <c r="K4">
        <f t="shared" si="4"/>
        <v>-3.7192745134994293E-2</v>
      </c>
      <c r="L4">
        <f t="shared" si="5"/>
        <v>-0.89000000000000057</v>
      </c>
      <c r="M4">
        <f t="shared" si="6"/>
        <v>-3.7192745134994293E-2</v>
      </c>
      <c r="N4">
        <f t="shared" si="7"/>
        <v>-0.8528072548650063</v>
      </c>
      <c r="O4">
        <v>0.66479999999999961</v>
      </c>
      <c r="P4">
        <f t="shared" si="8"/>
        <v>-1.282802729941346</v>
      </c>
      <c r="Q4">
        <f>SUM($P$2:P4)</f>
        <v>-2.7744604763963645</v>
      </c>
    </row>
    <row r="5" spans="1:18" x14ac:dyDescent="0.25">
      <c r="A5" t="s">
        <v>114</v>
      </c>
      <c r="B5" s="2">
        <v>43306.628472164353</v>
      </c>
      <c r="C5" s="2">
        <v>43306.832638888889</v>
      </c>
      <c r="D5" s="4">
        <v>7.4</v>
      </c>
      <c r="E5">
        <f t="shared" si="0"/>
        <v>-0.75</v>
      </c>
      <c r="F5" s="3">
        <f t="shared" si="1"/>
        <v>4.9000013888580725</v>
      </c>
      <c r="G5">
        <f t="shared" si="2"/>
        <v>5.3814198413827619E-2</v>
      </c>
      <c r="H5">
        <v>1</v>
      </c>
      <c r="I5">
        <v>1</v>
      </c>
      <c r="J5">
        <f t="shared" si="3"/>
        <v>-0.71170041277568619</v>
      </c>
      <c r="K5">
        <f t="shared" si="4"/>
        <v>-3.8299587224313793E-2</v>
      </c>
      <c r="L5">
        <f t="shared" si="5"/>
        <v>-0.75</v>
      </c>
      <c r="M5">
        <f t="shared" si="6"/>
        <v>-3.8299587224313793E-2</v>
      </c>
      <c r="N5">
        <f t="shared" si="7"/>
        <v>-0.71170041277568619</v>
      </c>
      <c r="O5">
        <v>0.93189999999999973</v>
      </c>
      <c r="P5">
        <f t="shared" si="8"/>
        <v>-0.76370899535968062</v>
      </c>
      <c r="Q5">
        <f>SUM($P$2:P5)</f>
        <v>-3.5381694717560452</v>
      </c>
    </row>
    <row r="6" spans="1:18" x14ac:dyDescent="0.25">
      <c r="A6" t="s">
        <v>115</v>
      </c>
      <c r="B6" s="2">
        <v>43306.628472164353</v>
      </c>
      <c r="C6" s="2">
        <v>43306.855555555558</v>
      </c>
      <c r="D6" s="4">
        <v>56.02</v>
      </c>
      <c r="E6">
        <f t="shared" si="0"/>
        <v>47.870000000000005</v>
      </c>
      <c r="F6" s="3">
        <f t="shared" si="1"/>
        <v>5.4500013889046386</v>
      </c>
      <c r="G6">
        <f t="shared" si="2"/>
        <v>5.9670839938895326E-2</v>
      </c>
      <c r="H6">
        <v>1</v>
      </c>
      <c r="I6">
        <v>1</v>
      </c>
      <c r="J6">
        <f t="shared" si="3"/>
        <v>45.1744052924589</v>
      </c>
      <c r="K6">
        <f t="shared" si="4"/>
        <v>2.6955947075411011</v>
      </c>
      <c r="L6">
        <f t="shared" si="5"/>
        <v>47.870000000000005</v>
      </c>
      <c r="M6">
        <f t="shared" si="6"/>
        <v>2.6955947075411011</v>
      </c>
      <c r="N6">
        <f t="shared" si="7"/>
        <v>45.1744052924589</v>
      </c>
      <c r="O6">
        <v>0.80379999999999985</v>
      </c>
      <c r="P6">
        <f t="shared" si="8"/>
        <v>56.201051620376845</v>
      </c>
      <c r="Q6">
        <f>SUM($P$2:P6)</f>
        <v>52.662882148620803</v>
      </c>
    </row>
    <row r="7" spans="1:18" x14ac:dyDescent="0.25">
      <c r="A7" t="s">
        <v>116</v>
      </c>
      <c r="B7" s="2">
        <v>43306.628472164353</v>
      </c>
      <c r="C7" s="2">
        <v>43306.87777777778</v>
      </c>
      <c r="D7" s="4">
        <v>174.15</v>
      </c>
      <c r="E7">
        <f t="shared" si="0"/>
        <v>166</v>
      </c>
      <c r="F7" s="3">
        <f t="shared" si="1"/>
        <v>5.9833347222302109</v>
      </c>
      <c r="G7">
        <f t="shared" si="2"/>
        <v>6.5315385369268619E-2</v>
      </c>
      <c r="H7">
        <v>1</v>
      </c>
      <c r="I7">
        <v>1</v>
      </c>
      <c r="J7">
        <f t="shared" si="3"/>
        <v>155.8223999012834</v>
      </c>
      <c r="K7">
        <f t="shared" si="4"/>
        <v>10.17760009871661</v>
      </c>
      <c r="L7">
        <f t="shared" si="5"/>
        <v>166</v>
      </c>
      <c r="M7">
        <f t="shared" si="6"/>
        <v>10.17760009871661</v>
      </c>
      <c r="N7">
        <f t="shared" si="7"/>
        <v>155.8223999012834</v>
      </c>
      <c r="O7">
        <v>0.81170000000000009</v>
      </c>
      <c r="P7">
        <f t="shared" si="8"/>
        <v>191.97043230415596</v>
      </c>
      <c r="Q7">
        <f>SUM($P$2:P7)</f>
        <v>244.63331445277677</v>
      </c>
    </row>
    <row r="8" spans="1:18" x14ac:dyDescent="0.25">
      <c r="A8" t="s">
        <v>117</v>
      </c>
      <c r="B8" s="2">
        <v>43306.628472164353</v>
      </c>
      <c r="C8" s="2">
        <v>43306.900694444441</v>
      </c>
      <c r="D8" s="4">
        <v>197.11</v>
      </c>
      <c r="E8">
        <f t="shared" si="0"/>
        <v>188.96</v>
      </c>
      <c r="F8" s="3">
        <f t="shared" si="1"/>
        <v>6.533334722102154</v>
      </c>
      <c r="G8">
        <f t="shared" si="2"/>
        <v>7.1100837566901443E-2</v>
      </c>
      <c r="H8">
        <v>1</v>
      </c>
      <c r="I8">
        <v>1</v>
      </c>
      <c r="J8">
        <f t="shared" si="3"/>
        <v>176.4166298564746</v>
      </c>
      <c r="K8">
        <f t="shared" si="4"/>
        <v>12.543370143525376</v>
      </c>
      <c r="L8">
        <f t="shared" si="5"/>
        <v>188.95999999999998</v>
      </c>
      <c r="M8">
        <f t="shared" si="6"/>
        <v>12.543370143525376</v>
      </c>
      <c r="N8">
        <f t="shared" si="7"/>
        <v>176.4166298564746</v>
      </c>
      <c r="O8">
        <v>0.80900000000000016</v>
      </c>
      <c r="P8">
        <f t="shared" si="8"/>
        <v>218.0675276347028</v>
      </c>
      <c r="Q8">
        <f>SUM($P$2:P8)</f>
        <v>462.7008420874796</v>
      </c>
    </row>
    <row r="9" spans="1:18" x14ac:dyDescent="0.25">
      <c r="A9" t="s">
        <v>118</v>
      </c>
      <c r="B9" s="2">
        <v>43306.628472164353</v>
      </c>
      <c r="C9" s="2">
        <v>43306.923611111109</v>
      </c>
      <c r="D9" s="4">
        <v>119.52</v>
      </c>
      <c r="E9">
        <f t="shared" si="0"/>
        <v>111.36999999999999</v>
      </c>
      <c r="F9" s="3">
        <f t="shared" si="1"/>
        <v>7.0833347221487202</v>
      </c>
      <c r="G9">
        <f t="shared" si="2"/>
        <v>7.6850479337245536E-2</v>
      </c>
      <c r="H9">
        <v>1</v>
      </c>
      <c r="I9">
        <v>1</v>
      </c>
      <c r="J9">
        <f t="shared" si="3"/>
        <v>103.42197188651795</v>
      </c>
      <c r="K9">
        <f t="shared" si="4"/>
        <v>7.948028113482037</v>
      </c>
      <c r="L9">
        <f t="shared" si="5"/>
        <v>111.36999999999999</v>
      </c>
      <c r="M9">
        <f t="shared" si="6"/>
        <v>7.948028113482037</v>
      </c>
      <c r="N9">
        <f t="shared" si="7"/>
        <v>103.42197188651795</v>
      </c>
      <c r="O9">
        <v>0.77430000000000021</v>
      </c>
      <c r="P9">
        <f t="shared" si="8"/>
        <v>133.56834803889697</v>
      </c>
      <c r="Q9">
        <f>SUM($P$2:P9)</f>
        <v>596.26919012637654</v>
      </c>
    </row>
    <row r="10" spans="1:18" x14ac:dyDescent="0.25">
      <c r="A10" t="s">
        <v>119</v>
      </c>
      <c r="B10" s="2">
        <v>43306.628472164353</v>
      </c>
      <c r="C10" s="2">
        <v>43306.946527777778</v>
      </c>
      <c r="D10" s="4">
        <v>75.03</v>
      </c>
      <c r="E10">
        <f t="shared" si="0"/>
        <v>66.88</v>
      </c>
      <c r="F10" s="3">
        <f t="shared" si="1"/>
        <v>7.6333347221952863</v>
      </c>
      <c r="G10">
        <f t="shared" si="2"/>
        <v>8.2564532335606233E-2</v>
      </c>
      <c r="H10">
        <v>1</v>
      </c>
      <c r="I10">
        <v>1</v>
      </c>
      <c r="J10">
        <f t="shared" si="3"/>
        <v>61.779227013569383</v>
      </c>
      <c r="K10">
        <f t="shared" si="4"/>
        <v>5.1007729864306075</v>
      </c>
      <c r="L10">
        <f t="shared" si="5"/>
        <v>66.88</v>
      </c>
      <c r="M10">
        <f t="shared" si="6"/>
        <v>5.1007729864306075</v>
      </c>
      <c r="N10">
        <f t="shared" si="7"/>
        <v>61.779227013569383</v>
      </c>
      <c r="O10">
        <v>0.80630000000000024</v>
      </c>
      <c r="P10">
        <f t="shared" si="8"/>
        <v>76.620646178307538</v>
      </c>
      <c r="Q10">
        <f>SUM($P$2:P10)</f>
        <v>672.88983630468408</v>
      </c>
    </row>
    <row r="11" spans="1:18" x14ac:dyDescent="0.25">
      <c r="A11" t="s">
        <v>120</v>
      </c>
      <c r="B11" s="2">
        <v>43306.628472164353</v>
      </c>
      <c r="C11" s="2">
        <v>43306.96875</v>
      </c>
      <c r="D11" s="4">
        <v>38.11</v>
      </c>
      <c r="E11">
        <f t="shared" si="0"/>
        <v>29.96</v>
      </c>
      <c r="F11" s="3">
        <f t="shared" si="1"/>
        <v>8.1666680555208586</v>
      </c>
      <c r="G11">
        <f t="shared" si="2"/>
        <v>8.8071653029737407E-2</v>
      </c>
      <c r="H11">
        <v>1</v>
      </c>
      <c r="I11">
        <v>1</v>
      </c>
      <c r="J11">
        <f t="shared" si="3"/>
        <v>27.534951321060824</v>
      </c>
      <c r="K11">
        <f t="shared" si="4"/>
        <v>2.4250486789391785</v>
      </c>
      <c r="L11">
        <f t="shared" si="5"/>
        <v>29.96</v>
      </c>
      <c r="M11">
        <f t="shared" si="6"/>
        <v>2.4250486789391785</v>
      </c>
      <c r="N11">
        <f t="shared" si="7"/>
        <v>27.534951321060824</v>
      </c>
      <c r="O11">
        <v>0.80239999999999956</v>
      </c>
      <c r="P11">
        <f t="shared" si="8"/>
        <v>34.315741925549403</v>
      </c>
      <c r="Q11">
        <f>SUM($P$2:P11)</f>
        <v>707.20557823023353</v>
      </c>
    </row>
    <row r="12" spans="1:18" x14ac:dyDescent="0.25">
      <c r="A12" t="s">
        <v>121</v>
      </c>
      <c r="B12" s="2">
        <v>43306.628472164353</v>
      </c>
      <c r="C12" s="2">
        <v>43306.991666666669</v>
      </c>
      <c r="D12" s="4">
        <v>20.02</v>
      </c>
      <c r="E12">
        <f t="shared" si="0"/>
        <v>11.87</v>
      </c>
      <c r="F12" s="3">
        <f t="shared" si="1"/>
        <v>8.7166680555674247</v>
      </c>
      <c r="G12">
        <f t="shared" si="2"/>
        <v>9.3716249911025562E-2</v>
      </c>
      <c r="H12">
        <v>1</v>
      </c>
      <c r="I12">
        <v>1</v>
      </c>
      <c r="J12">
        <f t="shared" si="3"/>
        <v>10.852906319134995</v>
      </c>
      <c r="K12">
        <f t="shared" si="4"/>
        <v>1.0170936808650037</v>
      </c>
      <c r="L12">
        <f t="shared" si="5"/>
        <v>11.87</v>
      </c>
      <c r="M12">
        <f t="shared" si="6"/>
        <v>1.0170936808650037</v>
      </c>
      <c r="N12">
        <f t="shared" si="7"/>
        <v>10.852906319134995</v>
      </c>
      <c r="O12">
        <v>0.79570000000000007</v>
      </c>
      <c r="P12">
        <f t="shared" si="8"/>
        <v>13.639444915338688</v>
      </c>
      <c r="Q12">
        <f>SUM($P$2:P12)</f>
        <v>720.84502314557221</v>
      </c>
    </row>
    <row r="13" spans="1:18" x14ac:dyDescent="0.25">
      <c r="A13" t="s">
        <v>122</v>
      </c>
      <c r="B13" s="2">
        <v>43306.628472164353</v>
      </c>
      <c r="C13" s="2">
        <v>43307.01458333333</v>
      </c>
      <c r="D13" s="4">
        <v>13.3</v>
      </c>
      <c r="E13">
        <f t="shared" si="0"/>
        <v>5.15</v>
      </c>
      <c r="F13" s="3">
        <f t="shared" si="1"/>
        <v>9.2666680554393679</v>
      </c>
      <c r="G13">
        <f t="shared" si="2"/>
        <v>9.9325908218820258E-2</v>
      </c>
      <c r="H13">
        <v>1</v>
      </c>
      <c r="I13">
        <v>1</v>
      </c>
      <c r="J13">
        <f t="shared" si="3"/>
        <v>4.684689009416938</v>
      </c>
      <c r="K13">
        <f t="shared" si="4"/>
        <v>0.4653109905830628</v>
      </c>
      <c r="L13">
        <f t="shared" si="5"/>
        <v>5.15</v>
      </c>
      <c r="M13">
        <f t="shared" si="6"/>
        <v>0.4653109905830628</v>
      </c>
      <c r="N13">
        <f t="shared" si="7"/>
        <v>4.684689009416938</v>
      </c>
      <c r="O13">
        <v>0.82560000000000056</v>
      </c>
      <c r="P13">
        <f t="shared" si="8"/>
        <v>5.6742841683829148</v>
      </c>
      <c r="Q13">
        <f>SUM($P$2:P13)</f>
        <v>726.5193073139551</v>
      </c>
    </row>
    <row r="14" spans="1:18" x14ac:dyDescent="0.25">
      <c r="A14" t="s">
        <v>123</v>
      </c>
      <c r="B14" s="2">
        <v>43306.628472164353</v>
      </c>
      <c r="C14" s="2">
        <v>43307.03749988426</v>
      </c>
      <c r="D14" s="4">
        <v>10.5</v>
      </c>
      <c r="E14">
        <f t="shared" si="0"/>
        <v>2.3499999999999996</v>
      </c>
      <c r="F14" s="3">
        <f t="shared" si="1"/>
        <v>9.8166652777581476</v>
      </c>
      <c r="G14">
        <f t="shared" si="2"/>
        <v>0.10490081614884572</v>
      </c>
      <c r="H14">
        <v>1</v>
      </c>
      <c r="I14">
        <v>1</v>
      </c>
      <c r="J14">
        <f t="shared" si="3"/>
        <v>2.126887740196421</v>
      </c>
      <c r="K14">
        <f t="shared" si="4"/>
        <v>0.22311225980357871</v>
      </c>
      <c r="L14">
        <f t="shared" si="5"/>
        <v>2.3499999999999996</v>
      </c>
      <c r="M14">
        <f t="shared" si="6"/>
        <v>0.22311225980357871</v>
      </c>
      <c r="N14">
        <f t="shared" si="7"/>
        <v>2.126887740196421</v>
      </c>
      <c r="O14">
        <v>0.80049999999999955</v>
      </c>
      <c r="P14">
        <f t="shared" si="8"/>
        <v>2.6569490820692345</v>
      </c>
      <c r="Q14">
        <f>SUM($P$2:P14)</f>
        <v>729.17625639602431</v>
      </c>
    </row>
    <row r="15" spans="1:18" x14ac:dyDescent="0.25">
      <c r="A15" t="s">
        <v>124</v>
      </c>
      <c r="B15" s="2">
        <v>43306.628472164353</v>
      </c>
      <c r="C15" s="2">
        <v>43307.060416493056</v>
      </c>
      <c r="D15" s="4">
        <v>8.9</v>
      </c>
      <c r="E15">
        <f t="shared" si="0"/>
        <v>0.75</v>
      </c>
      <c r="F15" s="3">
        <f t="shared" si="1"/>
        <v>10.366663888853509</v>
      </c>
      <c r="G15">
        <f t="shared" si="2"/>
        <v>0.11044123098365211</v>
      </c>
      <c r="H15">
        <v>1</v>
      </c>
      <c r="I15">
        <v>1</v>
      </c>
      <c r="J15">
        <f t="shared" si="3"/>
        <v>0.67540719767369806</v>
      </c>
      <c r="K15">
        <f t="shared" si="4"/>
        <v>7.4592802326302068E-2</v>
      </c>
      <c r="L15">
        <f t="shared" si="5"/>
        <v>0.75000000000000011</v>
      </c>
      <c r="M15">
        <f t="shared" si="6"/>
        <v>7.4592802326302068E-2</v>
      </c>
      <c r="N15">
        <f t="shared" si="7"/>
        <v>0.67540719767369806</v>
      </c>
      <c r="O15">
        <v>0.79889999999999972</v>
      </c>
      <c r="P15">
        <f t="shared" si="8"/>
        <v>0.84542145158805648</v>
      </c>
      <c r="Q15">
        <f>SUM($P$2:P15)</f>
        <v>730.02167784761241</v>
      </c>
    </row>
    <row r="16" spans="1:18" x14ac:dyDescent="0.25">
      <c r="A16" t="s">
        <v>125</v>
      </c>
      <c r="B16" s="2">
        <v>43306.628472164353</v>
      </c>
      <c r="C16" s="2">
        <v>43307.082638888889</v>
      </c>
      <c r="D16" s="4">
        <v>9.7200000000000006</v>
      </c>
      <c r="E16">
        <f t="shared" si="0"/>
        <v>1.5700000000000003</v>
      </c>
      <c r="F16" s="3">
        <f t="shared" si="1"/>
        <v>10.900001388858072</v>
      </c>
      <c r="G16">
        <f t="shared" si="2"/>
        <v>0.11578105687428764</v>
      </c>
      <c r="H16">
        <v>1</v>
      </c>
      <c r="I16">
        <v>1</v>
      </c>
      <c r="J16">
        <f t="shared" si="3"/>
        <v>1.4070860858653997</v>
      </c>
      <c r="K16">
        <f t="shared" si="4"/>
        <v>0.16291391413460063</v>
      </c>
      <c r="L16">
        <f t="shared" si="5"/>
        <v>1.5700000000000003</v>
      </c>
      <c r="M16">
        <f t="shared" si="6"/>
        <v>0.16291391413460063</v>
      </c>
      <c r="N16">
        <f t="shared" si="7"/>
        <v>1.4070860858653997</v>
      </c>
      <c r="O16">
        <v>0.79280000000000062</v>
      </c>
      <c r="P16">
        <f t="shared" si="8"/>
        <v>1.7748310871157904</v>
      </c>
      <c r="Q16">
        <f>SUM($P$2:P16)</f>
        <v>731.79650893472819</v>
      </c>
    </row>
    <row r="17" spans="1:14" x14ac:dyDescent="0.25">
      <c r="A17" t="s">
        <v>15</v>
      </c>
      <c r="B17" s="2">
        <v>43306.628472164353</v>
      </c>
      <c r="C17" s="2">
        <v>43307.105555555558</v>
      </c>
      <c r="D17" s="4">
        <v>8.15</v>
      </c>
      <c r="E17">
        <f t="shared" si="0"/>
        <v>0</v>
      </c>
      <c r="F17" s="3">
        <f t="shared" si="1"/>
        <v>11.450001388904639</v>
      </c>
      <c r="G17">
        <f t="shared" si="2"/>
        <v>0.12125413982573363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  <row r="27" spans="1:14" x14ac:dyDescent="0.25">
      <c r="E27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9"/>
  <sheetViews>
    <sheetView tabSelected="1" zoomScale="80" zoomScaleNormal="80" workbookViewId="0">
      <selection sqref="A1:XFD1048576"/>
    </sheetView>
  </sheetViews>
  <sheetFormatPr defaultRowHeight="15" x14ac:dyDescent="0.25"/>
  <cols>
    <col min="1" max="1" width="15.28515625" bestFit="1" customWidth="1"/>
    <col min="2" max="3" width="17.140625" bestFit="1" customWidth="1"/>
    <col min="4" max="4" width="24.5703125" bestFit="1" customWidth="1"/>
    <col min="5" max="5" width="22.140625" style="11" bestFit="1" customWidth="1"/>
    <col min="6" max="6" width="20" style="11" bestFit="1" customWidth="1"/>
    <col min="7" max="7" width="34.5703125" bestFit="1" customWidth="1"/>
    <col min="8" max="8" width="30.140625" bestFit="1" customWidth="1"/>
    <col min="9" max="9" width="20" bestFit="1" customWidth="1"/>
    <col min="10" max="10" width="21.5703125" bestFit="1" customWidth="1"/>
    <col min="11" max="11" width="16" bestFit="1" customWidth="1"/>
    <col min="12" max="12" width="17.7109375" customWidth="1"/>
    <col min="13" max="13" width="13" bestFit="1" customWidth="1"/>
    <col min="14" max="14" width="14.5703125" bestFit="1" customWidth="1"/>
    <col min="15" max="15" width="13" bestFit="1" customWidth="1"/>
    <col min="16" max="16" width="13.7109375" bestFit="1" customWidth="1"/>
    <col min="17" max="17" width="11" bestFit="1" customWidth="1"/>
    <col min="18" max="18" width="17.85546875" bestFit="1" customWidth="1"/>
    <col min="19" max="19" width="22.42578125" bestFit="1" customWidth="1"/>
    <col min="20" max="20" width="37.7109375" bestFit="1" customWidth="1"/>
    <col min="21" max="21" width="39.28515625" bestFit="1" customWidth="1"/>
    <col min="22" max="22" width="26.28515625" bestFit="1" customWidth="1"/>
    <col min="23" max="23" width="28" bestFit="1" customWidth="1"/>
    <col min="24" max="24" width="13" bestFit="1" customWidth="1"/>
    <col min="25" max="25" width="14.28515625" bestFit="1" customWidth="1"/>
    <col min="26" max="26" width="17" bestFit="1" customWidth="1"/>
    <col min="27" max="27" width="21.5703125" bestFit="1" customWidth="1"/>
    <col min="28" max="28" width="11.42578125" bestFit="1" customWidth="1"/>
    <col min="29" max="29" width="16.5703125" bestFit="1" customWidth="1"/>
    <col min="30" max="30" width="24.140625" customWidth="1"/>
    <col min="31" max="31" width="22.140625" bestFit="1" customWidth="1"/>
  </cols>
  <sheetData>
    <row r="1" spans="1:31" ht="15.75" thickBot="1" x14ac:dyDescent="0.3">
      <c r="A1" s="32" t="s">
        <v>0</v>
      </c>
      <c r="B1" s="29" t="s">
        <v>1</v>
      </c>
      <c r="C1" s="14" t="s">
        <v>2</v>
      </c>
      <c r="D1" s="27" t="s">
        <v>3</v>
      </c>
      <c r="E1" s="8" t="s">
        <v>134</v>
      </c>
      <c r="F1" s="8" t="s">
        <v>135</v>
      </c>
      <c r="G1" s="14" t="s">
        <v>4</v>
      </c>
      <c r="H1" s="8" t="s">
        <v>136</v>
      </c>
      <c r="I1" s="14" t="s">
        <v>5</v>
      </c>
      <c r="J1" s="8" t="s">
        <v>137</v>
      </c>
      <c r="K1" s="14" t="s">
        <v>6</v>
      </c>
      <c r="L1" s="8" t="s">
        <v>138</v>
      </c>
      <c r="M1" s="14" t="s">
        <v>9</v>
      </c>
      <c r="N1" s="8" t="s">
        <v>139</v>
      </c>
      <c r="O1" s="14" t="s">
        <v>10</v>
      </c>
      <c r="P1" s="8" t="s">
        <v>140</v>
      </c>
      <c r="Q1" s="14" t="s">
        <v>11</v>
      </c>
      <c r="R1" s="14" t="s">
        <v>103</v>
      </c>
      <c r="S1" s="8" t="s">
        <v>141</v>
      </c>
      <c r="T1" s="14" t="s">
        <v>104</v>
      </c>
      <c r="U1" s="8" t="s">
        <v>142</v>
      </c>
      <c r="V1" s="14" t="s">
        <v>105</v>
      </c>
      <c r="W1" s="8" t="s">
        <v>143</v>
      </c>
      <c r="X1" s="14" t="s">
        <v>144</v>
      </c>
      <c r="Y1" s="8" t="s">
        <v>145</v>
      </c>
      <c r="Z1" s="8" t="s">
        <v>146</v>
      </c>
      <c r="AA1" s="14" t="s">
        <v>130</v>
      </c>
      <c r="AB1" s="14" t="s">
        <v>131</v>
      </c>
      <c r="AC1" s="28" t="s">
        <v>132</v>
      </c>
    </row>
    <row r="2" spans="1:31" x14ac:dyDescent="0.25">
      <c r="A2" s="33" t="s">
        <v>16</v>
      </c>
      <c r="B2" s="30">
        <v>43305.489583333336</v>
      </c>
      <c r="C2" s="22">
        <v>43305.615277777775</v>
      </c>
      <c r="D2" s="23">
        <v>9.92</v>
      </c>
      <c r="E2" s="24">
        <v>5.86</v>
      </c>
      <c r="F2" s="9">
        <f>D2*(E2/100)</f>
        <v>0.58131200000000005</v>
      </c>
      <c r="G2" s="21">
        <f t="shared" ref="G2:G22" si="0">D2-$D$22</f>
        <v>3.0999999999999996</v>
      </c>
      <c r="H2" s="9">
        <f>SQRT((F2^2)+(F$17^2))</f>
        <v>0.87223444210831302</v>
      </c>
      <c r="I2" s="25">
        <f t="shared" ref="I2:I21" si="1">(C2-B2)*24</f>
        <v>3.0166666665463708</v>
      </c>
      <c r="J2" s="12">
        <f>1/60</f>
        <v>1.6666666666666666E-2</v>
      </c>
      <c r="K2" s="21">
        <f>1-EXP(-$AE$3*I2)</f>
        <v>3.3481922851185675E-2</v>
      </c>
      <c r="L2" s="9">
        <f>K2*SQRT(((J2/I2)^2))</f>
        <v>1.8498299918519797E-4</v>
      </c>
      <c r="M2" s="21">
        <f>G2/((1+K2))</f>
        <v>2.9995686731004176</v>
      </c>
      <c r="N2" s="9">
        <f t="shared" ref="N2:N22" si="2">M2*SQRT(((H2/G2)^2)+((L2/K2)^2))</f>
        <v>0.84413917552908224</v>
      </c>
      <c r="O2" s="21">
        <f>M2*K2</f>
        <v>0.10043132689958156</v>
      </c>
      <c r="P2" s="9">
        <f t="shared" ref="P2:P22" si="3">O2*SQRT(((N2/M2)^2)+((L2/K2)^2))</f>
        <v>2.8268848842664687E-2</v>
      </c>
      <c r="Q2" s="21">
        <f>M2+O2</f>
        <v>3.0999999999999992</v>
      </c>
      <c r="R2" s="21">
        <v>1.0273000000000003</v>
      </c>
      <c r="S2" s="9">
        <v>1.4142135623730951E-4</v>
      </c>
      <c r="T2" s="21">
        <f>M2/R2</f>
        <v>2.9198565882414256</v>
      </c>
      <c r="U2" s="9">
        <f>T2*SQRT(((S2/R2)^2)+((N2/M2)^2))</f>
        <v>0.82170668405158676</v>
      </c>
      <c r="V2" s="21">
        <f>SUM($T$2:T2)</f>
        <v>2.9198565882414256</v>
      </c>
      <c r="W2" s="9">
        <f>SQRT((U2^2))</f>
        <v>0.82170668405158676</v>
      </c>
      <c r="X2" s="21">
        <f>M2/60</f>
        <v>4.9992811218340295E-2</v>
      </c>
      <c r="Y2" s="9">
        <f>X2*SQRT(((N2/M2)^2))</f>
        <v>1.4068986258818037E-2</v>
      </c>
      <c r="Z2" s="9">
        <f>Y2^2</f>
        <v>1.9793637435081075E-4</v>
      </c>
      <c r="AA2" s="21">
        <f>(C2-$AE$6)*24</f>
        <v>122.76666666660458</v>
      </c>
      <c r="AB2" s="26">
        <f>EXP(-$AE$9*AA2)</f>
        <v>0.99966276232172058</v>
      </c>
      <c r="AC2" s="21">
        <f>X2/AB2</f>
        <v>5.0009676365489301E-2</v>
      </c>
      <c r="AE2" t="s">
        <v>14</v>
      </c>
    </row>
    <row r="3" spans="1:31" x14ac:dyDescent="0.25">
      <c r="A3" s="34" t="s">
        <v>17</v>
      </c>
      <c r="B3" s="31">
        <v>43305.489722222221</v>
      </c>
      <c r="C3" s="17">
        <v>43305.637499999997</v>
      </c>
      <c r="D3" s="16">
        <v>9.89</v>
      </c>
      <c r="E3" s="18">
        <v>5.87</v>
      </c>
      <c r="F3" s="10">
        <f t="shared" ref="F3:F22" si="4">D3*(E3/100)</f>
        <v>0.58054300000000003</v>
      </c>
      <c r="G3" s="15">
        <f t="shared" si="0"/>
        <v>3.0700000000000003</v>
      </c>
      <c r="H3" s="10">
        <f>SQRT((F3^2)+(F$17^2))</f>
        <v>0.87172212057799714</v>
      </c>
      <c r="I3" s="19">
        <f t="shared" si="1"/>
        <v>3.5466666666325182</v>
      </c>
      <c r="J3" s="13">
        <f t="shared" ref="J3:J22" si="5">1/60</f>
        <v>1.6666666666666666E-2</v>
      </c>
      <c r="K3" s="15">
        <f>1-EXP(-$AE$3*I3)</f>
        <v>3.9247520804571723E-2</v>
      </c>
      <c r="L3" s="10">
        <f t="shared" ref="L3:L22" si="6">K3*SQRT(((J3/I3)^2))</f>
        <v>1.8443383836912411E-4</v>
      </c>
      <c r="M3" s="15">
        <f>G3/((1+K3))</f>
        <v>2.9540604509917396</v>
      </c>
      <c r="N3" s="10">
        <f t="shared" si="2"/>
        <v>0.83891611311625347</v>
      </c>
      <c r="O3" s="15">
        <f>M3*K3</f>
        <v>0.11593954900826083</v>
      </c>
      <c r="P3" s="10">
        <f t="shared" si="3"/>
        <v>3.2929885037896955E-2</v>
      </c>
      <c r="Q3" s="15">
        <f t="shared" ref="Q3:Q22" si="7">M3+O3</f>
        <v>3.0700000000000003</v>
      </c>
      <c r="R3" s="15">
        <v>1.0228999999999999</v>
      </c>
      <c r="S3" s="10">
        <v>1.4142135623730951E-4</v>
      </c>
      <c r="T3" s="15">
        <f>M3/R3</f>
        <v>2.8879269244224655</v>
      </c>
      <c r="U3" s="10">
        <f t="shared" ref="U3:U22" si="8">T3*SQRT(((S3/R3)^2)+((N3/M3)^2))</f>
        <v>0.82013511832211672</v>
      </c>
      <c r="V3" s="15">
        <f>SUM($T$2:T3)</f>
        <v>5.8077835126638906</v>
      </c>
      <c r="W3" s="10">
        <f>SQRT((U3^2)+(U2^2))</f>
        <v>1.1609580039434186</v>
      </c>
      <c r="X3" s="15">
        <f t="shared" ref="X3:X21" si="9">M3/60</f>
        <v>4.9234340849862328E-2</v>
      </c>
      <c r="Y3" s="10">
        <f t="shared" ref="Y3:Y16" si="10">X3*SQRT(((N3/M3)^2))</f>
        <v>1.3981935218604224E-2</v>
      </c>
      <c r="Z3" s="10">
        <f t="shared" ref="Z3:Z16" si="11">Y3^2</f>
        <v>1.9549451245724515E-4</v>
      </c>
      <c r="AA3" s="15">
        <f>(C3-$AE$6)*24</f>
        <v>123.29999999993015</v>
      </c>
      <c r="AB3" s="20">
        <f t="shared" ref="AB3:AB21" si="12">EXP(-$AE$9*AA3)</f>
        <v>0.99966129751342203</v>
      </c>
      <c r="AC3" s="15">
        <f t="shared" ref="AC3:AC21" si="13">X3/AB3</f>
        <v>4.9251022293579673E-2</v>
      </c>
      <c r="AE3">
        <f>LN(2)/61.4</f>
        <v>1.1289042028663604E-2</v>
      </c>
    </row>
    <row r="4" spans="1:31" x14ac:dyDescent="0.25">
      <c r="A4" s="34" t="s">
        <v>18</v>
      </c>
      <c r="B4" s="31">
        <v>43305.489861111113</v>
      </c>
      <c r="C4" s="17">
        <v>43305.660416666666</v>
      </c>
      <c r="D4" s="16">
        <v>8.15</v>
      </c>
      <c r="E4" s="18">
        <v>6.47</v>
      </c>
      <c r="F4" s="10">
        <f t="shared" si="4"/>
        <v>0.52730500000000002</v>
      </c>
      <c r="G4" s="15">
        <f t="shared" si="0"/>
        <v>1.33</v>
      </c>
      <c r="H4" s="10">
        <f t="shared" ref="H4:H17" si="14">SQRT((F4^2)+(F$17^2))</f>
        <v>0.83720955780557127</v>
      </c>
      <c r="I4" s="19">
        <f t="shared" si="1"/>
        <v>4.0933333332650363</v>
      </c>
      <c r="J4" s="13">
        <f t="shared" si="5"/>
        <v>1.6666666666666666E-2</v>
      </c>
      <c r="K4" s="15">
        <f>1-EXP(-$AE$3*I4)</f>
        <v>4.5158396088847308E-2</v>
      </c>
      <c r="L4" s="10">
        <f t="shared" si="6"/>
        <v>1.8386969091856991E-4</v>
      </c>
      <c r="M4" s="15">
        <f>G4/((1+K4))</f>
        <v>1.2725343880669919</v>
      </c>
      <c r="N4" s="10">
        <f t="shared" si="2"/>
        <v>0.80105281135948991</v>
      </c>
      <c r="O4" s="15">
        <f>M4*K4</f>
        <v>5.746561193300815E-2</v>
      </c>
      <c r="P4" s="10">
        <f t="shared" si="3"/>
        <v>3.6175016845925709E-2</v>
      </c>
      <c r="Q4" s="15">
        <f t="shared" si="7"/>
        <v>1.33</v>
      </c>
      <c r="R4" s="15">
        <v>0.99340000000000028</v>
      </c>
      <c r="S4" s="10">
        <v>1.4142135623730951E-4</v>
      </c>
      <c r="T4" s="15">
        <f>M4/R4</f>
        <v>1.280988914905367</v>
      </c>
      <c r="U4" s="10">
        <f t="shared" si="8"/>
        <v>0.80637490622527574</v>
      </c>
      <c r="V4" s="15">
        <f>SUM($T$2:T4)</f>
        <v>7.0887724275692579</v>
      </c>
      <c r="W4" s="10">
        <f>SQRT((U4^2)+(U3^2)+(U2^2))</f>
        <v>1.4135289089049821</v>
      </c>
      <c r="X4" s="15">
        <f t="shared" si="9"/>
        <v>2.1208906467783197E-2</v>
      </c>
      <c r="Y4" s="10">
        <f t="shared" si="10"/>
        <v>1.3350880189324831E-2</v>
      </c>
      <c r="Z4" s="10">
        <f t="shared" si="11"/>
        <v>1.7824600182970624E-4</v>
      </c>
      <c r="AA4" s="15">
        <f>(C4-$AE$6)*24</f>
        <v>123.84999999997672</v>
      </c>
      <c r="AB4" s="20">
        <f t="shared" si="12"/>
        <v>0.9996597869321121</v>
      </c>
      <c r="AC4" s="15">
        <f t="shared" si="13"/>
        <v>2.1216124470578024E-2</v>
      </c>
    </row>
    <row r="5" spans="1:31" x14ac:dyDescent="0.25">
      <c r="A5" s="34" t="s">
        <v>19</v>
      </c>
      <c r="B5" s="31">
        <v>43305.489999826386</v>
      </c>
      <c r="C5" s="17">
        <v>43305.683333275461</v>
      </c>
      <c r="D5" s="16">
        <v>8.2200000000000006</v>
      </c>
      <c r="E5" s="18">
        <v>6.44</v>
      </c>
      <c r="F5" s="10">
        <f t="shared" si="4"/>
        <v>0.52936800000000006</v>
      </c>
      <c r="G5" s="15">
        <f t="shared" si="0"/>
        <v>1.4000000000000004</v>
      </c>
      <c r="H5" s="10">
        <f t="shared" si="14"/>
        <v>0.83851044124685781</v>
      </c>
      <c r="I5" s="19">
        <f t="shared" si="1"/>
        <v>4.640002777799964</v>
      </c>
      <c r="J5" s="13">
        <f t="shared" si="5"/>
        <v>1.6666666666666666E-2</v>
      </c>
      <c r="K5" s="15">
        <f>1-EXP(-$AE$3*I5)</f>
        <v>5.1032935421984837E-2</v>
      </c>
      <c r="L5" s="10">
        <f t="shared" si="6"/>
        <v>1.8330784795414092E-4</v>
      </c>
      <c r="M5" s="15">
        <f>G5/((1+K5))</f>
        <v>1.3320229583841792</v>
      </c>
      <c r="N5" s="10">
        <f t="shared" si="2"/>
        <v>0.79781088875738582</v>
      </c>
      <c r="O5" s="15">
        <f>M5*K5</f>
        <v>6.7977041615821007E-2</v>
      </c>
      <c r="P5" s="10">
        <f t="shared" si="3"/>
        <v>4.0715363716702056E-2</v>
      </c>
      <c r="Q5" s="15">
        <f t="shared" si="7"/>
        <v>1.4000000000000001</v>
      </c>
      <c r="R5" s="15">
        <v>0.85529999999999973</v>
      </c>
      <c r="S5" s="10">
        <v>1.4142135623730951E-4</v>
      </c>
      <c r="T5" s="15">
        <f>M5/R5</f>
        <v>1.557375141335414</v>
      </c>
      <c r="U5" s="10">
        <f t="shared" si="8"/>
        <v>0.93278489320506353</v>
      </c>
      <c r="V5" s="15">
        <f>SUM($T$2:T5)</f>
        <v>8.6461475689046718</v>
      </c>
      <c r="W5" s="10">
        <f>SQRT((U5^2)+(U4^2)+(U3^2)+(U2^2))</f>
        <v>1.6935618185651478</v>
      </c>
      <c r="X5" s="15">
        <f t="shared" si="9"/>
        <v>2.2200382639736321E-2</v>
      </c>
      <c r="Y5" s="10">
        <f t="shared" si="10"/>
        <v>1.3296848145956431E-2</v>
      </c>
      <c r="Z5" s="10">
        <f t="shared" si="11"/>
        <v>1.7680617061662497E-4</v>
      </c>
      <c r="AA5" s="15">
        <f>(C5-$AE$6)*24</f>
        <v>124.39999861107208</v>
      </c>
      <c r="AB5" s="20">
        <f t="shared" si="12"/>
        <v>0.99965827635689952</v>
      </c>
      <c r="AC5" s="15">
        <f t="shared" si="13"/>
        <v>2.2207971628707156E-2</v>
      </c>
    </row>
    <row r="6" spans="1:31" x14ac:dyDescent="0.25">
      <c r="A6" s="34" t="s">
        <v>20</v>
      </c>
      <c r="B6" s="31">
        <v>43305.490138657406</v>
      </c>
      <c r="C6" s="17">
        <v>43305.70624994213</v>
      </c>
      <c r="D6" s="16">
        <v>36.78</v>
      </c>
      <c r="E6" s="18">
        <v>3.05</v>
      </c>
      <c r="F6" s="10">
        <f t="shared" si="4"/>
        <v>1.1217900000000001</v>
      </c>
      <c r="G6" s="15">
        <f t="shared" si="0"/>
        <v>29.96</v>
      </c>
      <c r="H6" s="10">
        <f t="shared" si="14"/>
        <v>1.2966426202913433</v>
      </c>
      <c r="I6" s="19">
        <f t="shared" si="1"/>
        <v>5.1866708333836868</v>
      </c>
      <c r="J6" s="13">
        <f t="shared" si="5"/>
        <v>1.6666666666666666E-2</v>
      </c>
      <c r="K6" s="15">
        <f>1-EXP(-$AE$3*I6)</f>
        <v>5.687131762433284E-2</v>
      </c>
      <c r="L6" s="10">
        <f t="shared" si="6"/>
        <v>1.8274830313851201E-4</v>
      </c>
      <c r="M6" s="15">
        <f>G6/((1+K6))</f>
        <v>28.347822010483732</v>
      </c>
      <c r="N6" s="10">
        <f t="shared" si="2"/>
        <v>1.2302459888674797</v>
      </c>
      <c r="O6" s="15">
        <f>M6*K6</f>
        <v>1.6121779895162738</v>
      </c>
      <c r="P6" s="10">
        <f t="shared" si="3"/>
        <v>7.0157240396771056E-2</v>
      </c>
      <c r="Q6" s="15">
        <f t="shared" si="7"/>
        <v>29.960000000000004</v>
      </c>
      <c r="R6" s="15">
        <v>0.80679999999999996</v>
      </c>
      <c r="S6" s="10">
        <v>1.4142135623730951E-4</v>
      </c>
      <c r="T6" s="15">
        <f>M6/R6</f>
        <v>35.136120488948606</v>
      </c>
      <c r="U6" s="10">
        <f t="shared" si="8"/>
        <v>1.5248587305240842</v>
      </c>
      <c r="V6" s="15">
        <f>SUM($T$2:T6)</f>
        <v>43.78226805785328</v>
      </c>
      <c r="W6" s="10">
        <f>SQRT((U6^2)+(U5^2)+(U4^2)+(U3^2)+(U2^2))</f>
        <v>2.2788913491777558</v>
      </c>
      <c r="X6" s="15">
        <f t="shared" si="9"/>
        <v>0.47246370017472888</v>
      </c>
      <c r="Y6" s="10">
        <f t="shared" si="10"/>
        <v>2.0504099814457999E-2</v>
      </c>
      <c r="Z6" s="10">
        <f t="shared" si="11"/>
        <v>4.2041810920125653E-4</v>
      </c>
      <c r="AA6" s="15">
        <f>(C6-$AE$6)*24</f>
        <v>124.94999861111864</v>
      </c>
      <c r="AB6" s="20">
        <f t="shared" si="12"/>
        <v>0.99965676578015472</v>
      </c>
      <c r="AC6" s="15">
        <f t="shared" si="13"/>
        <v>0.47262592156419564</v>
      </c>
      <c r="AE6" s="2">
        <v>43300.5</v>
      </c>
    </row>
    <row r="7" spans="1:31" x14ac:dyDescent="0.25">
      <c r="A7" s="34" t="s">
        <v>21</v>
      </c>
      <c r="B7" s="31">
        <v>43305.490277488425</v>
      </c>
      <c r="C7" s="17">
        <v>43305.728472222225</v>
      </c>
      <c r="D7" s="16">
        <v>113.04</v>
      </c>
      <c r="E7" s="18">
        <v>1.74</v>
      </c>
      <c r="F7" s="10">
        <f t="shared" si="4"/>
        <v>1.966896</v>
      </c>
      <c r="G7" s="15">
        <f t="shared" si="0"/>
        <v>106.22</v>
      </c>
      <c r="H7" s="10">
        <f t="shared" si="14"/>
        <v>2.071605453620935</v>
      </c>
      <c r="I7" s="19">
        <f t="shared" si="1"/>
        <v>5.7166736111976206</v>
      </c>
      <c r="J7" s="13">
        <f t="shared" si="5"/>
        <v>1.6666666666666666E-2</v>
      </c>
      <c r="K7" s="15">
        <f>1-EXP(-$AE$3*I7)</f>
        <v>6.249741954962762E-2</v>
      </c>
      <c r="L7" s="10">
        <f t="shared" si="6"/>
        <v>1.8220799891744113E-4</v>
      </c>
      <c r="M7" s="15">
        <f>G7/((1+K7))</f>
        <v>99.972007503815533</v>
      </c>
      <c r="N7" s="10">
        <f t="shared" si="2"/>
        <v>1.9714157215404036</v>
      </c>
      <c r="O7" s="15">
        <f>M7*K7</f>
        <v>6.2479924961844802</v>
      </c>
      <c r="P7" s="10">
        <f t="shared" si="3"/>
        <v>0.12454766323263797</v>
      </c>
      <c r="Q7" s="15">
        <f t="shared" si="7"/>
        <v>106.22000000000001</v>
      </c>
      <c r="R7" s="15">
        <v>0.79510000000000058</v>
      </c>
      <c r="S7" s="10">
        <v>1.4142135623730951E-4</v>
      </c>
      <c r="T7" s="15">
        <f>M7/R7</f>
        <v>125.73513709447298</v>
      </c>
      <c r="U7" s="10">
        <f t="shared" si="8"/>
        <v>2.4795571785421702</v>
      </c>
      <c r="V7" s="15">
        <f>SUM($T$2:T7)</f>
        <v>169.51740515232626</v>
      </c>
      <c r="W7" s="10">
        <f>SQRT((U7^2)+(U6^2)+(U5^2)+(U4^2)+(U3^2)+(U2^2))</f>
        <v>3.3677217199491438</v>
      </c>
      <c r="X7" s="15">
        <f t="shared" si="9"/>
        <v>1.6662001250635923</v>
      </c>
      <c r="Y7" s="10">
        <f t="shared" si="10"/>
        <v>3.2856928692340061E-2</v>
      </c>
      <c r="Z7" s="10">
        <f t="shared" si="11"/>
        <v>1.0795777630935195E-3</v>
      </c>
      <c r="AA7" s="15">
        <f>(C7-$AE$6)*24</f>
        <v>125.48333333339542</v>
      </c>
      <c r="AB7" s="20">
        <f t="shared" si="12"/>
        <v>0.9996553009768282</v>
      </c>
      <c r="AC7" s="15">
        <f t="shared" si="13"/>
        <v>1.6667746606609697</v>
      </c>
    </row>
    <row r="8" spans="1:31" x14ac:dyDescent="0.25">
      <c r="A8" s="34" t="s">
        <v>22</v>
      </c>
      <c r="B8" s="31">
        <v>43305.490416319444</v>
      </c>
      <c r="C8" s="17">
        <v>43305.751388888886</v>
      </c>
      <c r="D8" s="16">
        <v>157.36000000000001</v>
      </c>
      <c r="E8" s="18">
        <v>1.47</v>
      </c>
      <c r="F8" s="10">
        <f t="shared" si="4"/>
        <v>2.3131919999999999</v>
      </c>
      <c r="G8" s="15">
        <f t="shared" si="0"/>
        <v>150.54000000000002</v>
      </c>
      <c r="H8" s="10">
        <f t="shared" si="14"/>
        <v>2.4028579877970317</v>
      </c>
      <c r="I8" s="19">
        <f t="shared" si="1"/>
        <v>6.2633416666067205</v>
      </c>
      <c r="J8" s="13">
        <f t="shared" si="5"/>
        <v>1.6666666666666666E-2</v>
      </c>
      <c r="K8" s="15">
        <f>1-EXP(-$AE$3*I8)</f>
        <v>6.8265268174645843E-2</v>
      </c>
      <c r="L8" s="10">
        <f t="shared" si="6"/>
        <v>1.8165294664402841E-4</v>
      </c>
      <c r="M8" s="15">
        <f>G8/((1+K8))</f>
        <v>140.9200546763343</v>
      </c>
      <c r="N8" s="10">
        <f t="shared" si="2"/>
        <v>2.2803514663560427</v>
      </c>
      <c r="O8" s="15">
        <f>M8*K8</f>
        <v>9.619945323665716</v>
      </c>
      <c r="P8" s="10">
        <f t="shared" si="3"/>
        <v>0.1577595070691398</v>
      </c>
      <c r="Q8" s="15">
        <f t="shared" si="7"/>
        <v>150.54000000000002</v>
      </c>
      <c r="R8" s="15">
        <v>0.81210000000000004</v>
      </c>
      <c r="S8" s="10">
        <v>1.4142135623730951E-4</v>
      </c>
      <c r="T8" s="15">
        <f>M8/R8</f>
        <v>173.52549523006317</v>
      </c>
      <c r="U8" s="10">
        <f t="shared" si="8"/>
        <v>2.8081313980976552</v>
      </c>
      <c r="V8" s="15">
        <f>SUM($T$2:T8)</f>
        <v>343.04290038238946</v>
      </c>
      <c r="W8" s="10">
        <f>SQRT((U8^2)+(U7^2)+(U6^2)+(U5^2)+(U4^2)+(U3^2)+(U2^2))</f>
        <v>4.3848775960109894</v>
      </c>
      <c r="X8" s="15">
        <f t="shared" si="9"/>
        <v>2.348667577938905</v>
      </c>
      <c r="Y8" s="10">
        <f t="shared" si="10"/>
        <v>3.8005857772600717E-2</v>
      </c>
      <c r="Z8" s="10">
        <f t="shared" si="11"/>
        <v>1.4444452250311542E-3</v>
      </c>
      <c r="AA8" s="15">
        <f>(C8-$AE$6)*24</f>
        <v>126.03333333326736</v>
      </c>
      <c r="AB8" s="20">
        <f t="shared" si="12"/>
        <v>0.99965379040458002</v>
      </c>
      <c r="AC8" s="15">
        <f t="shared" si="13"/>
        <v>2.3494809908021774</v>
      </c>
      <c r="AE8" t="s">
        <v>133</v>
      </c>
    </row>
    <row r="9" spans="1:31" x14ac:dyDescent="0.25">
      <c r="A9" s="34" t="s">
        <v>23</v>
      </c>
      <c r="B9" s="31">
        <v>43305.490555150463</v>
      </c>
      <c r="C9" s="17">
        <v>43305.774305439816</v>
      </c>
      <c r="D9" s="16">
        <v>125.05</v>
      </c>
      <c r="E9" s="18">
        <v>1.65</v>
      </c>
      <c r="F9" s="10">
        <f t="shared" si="4"/>
        <v>2.0633249999999999</v>
      </c>
      <c r="G9" s="15">
        <f t="shared" si="0"/>
        <v>118.22999999999999</v>
      </c>
      <c r="H9" s="10">
        <f t="shared" si="14"/>
        <v>2.1633722139939304</v>
      </c>
      <c r="I9" s="19">
        <f t="shared" si="1"/>
        <v>6.810006944462657</v>
      </c>
      <c r="J9" s="13">
        <f t="shared" si="5"/>
        <v>1.6666666666666666E-2</v>
      </c>
      <c r="K9" s="15">
        <f>1-EXP(-$AE$3*I9)</f>
        <v>7.3997601912074717E-2</v>
      </c>
      <c r="L9" s="10">
        <f t="shared" si="6"/>
        <v>1.8110016263699392E-4</v>
      </c>
      <c r="M9" s="15">
        <f>G9/((1+K9))</f>
        <v>110.08404468456081</v>
      </c>
      <c r="N9" s="10">
        <f t="shared" si="2"/>
        <v>2.0322551240491276</v>
      </c>
      <c r="O9" s="15">
        <f>M9*K9</f>
        <v>8.1459553154391759</v>
      </c>
      <c r="P9" s="10">
        <f t="shared" si="3"/>
        <v>0.15169772979729815</v>
      </c>
      <c r="Q9" s="15">
        <f t="shared" si="7"/>
        <v>118.22999999999999</v>
      </c>
      <c r="R9" s="15">
        <v>0.79150000000000009</v>
      </c>
      <c r="S9" s="10">
        <v>1.4142135623730951E-4</v>
      </c>
      <c r="T9" s="15">
        <f>M9/R9</f>
        <v>139.08281071959672</v>
      </c>
      <c r="U9" s="10">
        <f t="shared" si="8"/>
        <v>2.5677199075915462</v>
      </c>
      <c r="V9" s="15">
        <f>SUM($T$2:T9)</f>
        <v>482.12571110198621</v>
      </c>
      <c r="W9" s="10">
        <f>SQRT((U9^2)+(U8^2)+(U7^2)+(U6^2)+(U5^2)+(U4^2)+(U3^2)+(U2^2))</f>
        <v>5.0813715723061472</v>
      </c>
      <c r="X9" s="15">
        <f t="shared" si="9"/>
        <v>1.8347340780760135</v>
      </c>
      <c r="Y9" s="10">
        <f t="shared" si="10"/>
        <v>3.3870918734152128E-2</v>
      </c>
      <c r="Z9" s="10">
        <f t="shared" si="11"/>
        <v>1.1472391358955376E-3</v>
      </c>
      <c r="AA9" s="15">
        <f>(C9-$AE$6)*24</f>
        <v>126.58333055558614</v>
      </c>
      <c r="AB9" s="20">
        <f t="shared" si="12"/>
        <v>0.99965227984224303</v>
      </c>
      <c r="AC9" s="15">
        <f t="shared" si="13"/>
        <v>1.8353722740126759</v>
      </c>
      <c r="AE9">
        <f>LN(2)/252288</f>
        <v>2.7474441137110973E-6</v>
      </c>
    </row>
    <row r="10" spans="1:31" x14ac:dyDescent="0.25">
      <c r="A10" s="34" t="s">
        <v>24</v>
      </c>
      <c r="B10" s="31">
        <v>43305.490693981483</v>
      </c>
      <c r="C10" s="17">
        <v>43305.797222222223</v>
      </c>
      <c r="D10" s="16">
        <v>90.82</v>
      </c>
      <c r="E10" s="18">
        <v>1.94</v>
      </c>
      <c r="F10" s="10">
        <f t="shared" si="4"/>
        <v>1.761908</v>
      </c>
      <c r="G10" s="15">
        <f t="shared" si="0"/>
        <v>84</v>
      </c>
      <c r="H10" s="10">
        <f t="shared" si="14"/>
        <v>1.8780812232488775</v>
      </c>
      <c r="I10" s="19">
        <f t="shared" si="1"/>
        <v>7.3566777777741663</v>
      </c>
      <c r="J10" s="13">
        <f t="shared" si="5"/>
        <v>1.6666666666666666E-2</v>
      </c>
      <c r="K10" s="15">
        <f>1-EXP(-$AE$3*I10)</f>
        <v>7.9694726194053489E-2</v>
      </c>
      <c r="L10" s="10">
        <f t="shared" si="6"/>
        <v>1.8054962806450818E-4</v>
      </c>
      <c r="M10" s="15">
        <f>G10/((1+K10))</f>
        <v>77.799768732873005</v>
      </c>
      <c r="N10" s="10">
        <f t="shared" si="2"/>
        <v>1.7483628803719591</v>
      </c>
      <c r="O10" s="15">
        <f>M10*K10</f>
        <v>6.2002312671269983</v>
      </c>
      <c r="P10" s="10">
        <f t="shared" si="3"/>
        <v>0.14004155254415701</v>
      </c>
      <c r="Q10" s="15">
        <f t="shared" si="7"/>
        <v>84</v>
      </c>
      <c r="R10" s="15">
        <v>0.81820000000000004</v>
      </c>
      <c r="S10" s="10">
        <v>1.4142135623730951E-4</v>
      </c>
      <c r="T10" s="15">
        <f>M10/R10</f>
        <v>95.08649319588487</v>
      </c>
      <c r="U10" s="10">
        <f t="shared" si="8"/>
        <v>2.1369036829179366</v>
      </c>
      <c r="V10" s="15">
        <f>SUM($T$2:T10)</f>
        <v>577.21220429787104</v>
      </c>
      <c r="W10" s="10">
        <f>SQRT((U10^2)+(U9^2)+(U8^2)+(U7^2)+(U6^2)+(U5^2)+(U4^2)+(U3^2)+(U2^2))</f>
        <v>5.5124127572152366</v>
      </c>
      <c r="X10" s="15">
        <f t="shared" si="9"/>
        <v>1.29666281221455</v>
      </c>
      <c r="Y10" s="10">
        <f t="shared" si="10"/>
        <v>2.9139381339532651E-2</v>
      </c>
      <c r="Z10" s="10">
        <f t="shared" si="11"/>
        <v>8.4910354485070365E-4</v>
      </c>
      <c r="AA10" s="15">
        <f>(C10-$AE$6)*24</f>
        <v>127.1333333333605</v>
      </c>
      <c r="AB10" s="20">
        <f t="shared" si="12"/>
        <v>0.99965076926693064</v>
      </c>
      <c r="AC10" s="15">
        <f t="shared" si="13"/>
        <v>1.2971158049179774</v>
      </c>
    </row>
    <row r="11" spans="1:31" x14ac:dyDescent="0.25">
      <c r="A11" s="34" t="s">
        <v>25</v>
      </c>
      <c r="B11" s="31">
        <v>43305.490832812502</v>
      </c>
      <c r="C11" s="17">
        <v>43305.819444444445</v>
      </c>
      <c r="D11" s="16">
        <v>57.25</v>
      </c>
      <c r="E11" s="18">
        <v>2.44</v>
      </c>
      <c r="F11" s="10">
        <f t="shared" si="4"/>
        <v>1.3968999999999998</v>
      </c>
      <c r="G11" s="15">
        <f t="shared" si="0"/>
        <v>50.43</v>
      </c>
      <c r="H11" s="10">
        <f t="shared" si="14"/>
        <v>1.5408435646281551</v>
      </c>
      <c r="I11" s="19">
        <f t="shared" si="1"/>
        <v>7.8866791666368954</v>
      </c>
      <c r="J11" s="13">
        <f t="shared" si="5"/>
        <v>1.6666666666666666E-2</v>
      </c>
      <c r="K11" s="15">
        <f>1-EXP(-$AE$3*I11)</f>
        <v>8.5184663931195725E-2</v>
      </c>
      <c r="L11" s="10">
        <f t="shared" si="6"/>
        <v>1.8001802391800367E-4</v>
      </c>
      <c r="M11" s="15">
        <f>G11/((1+K11))</f>
        <v>46.471353379904961</v>
      </c>
      <c r="N11" s="10">
        <f t="shared" si="2"/>
        <v>1.4232828170787126</v>
      </c>
      <c r="O11" s="15">
        <f>M11*K11</f>
        <v>3.9586466200950405</v>
      </c>
      <c r="P11" s="10">
        <f t="shared" si="3"/>
        <v>0.12153014147822688</v>
      </c>
      <c r="Q11" s="15">
        <f t="shared" si="7"/>
        <v>50.43</v>
      </c>
      <c r="R11" s="15">
        <v>0.8158000000000003</v>
      </c>
      <c r="S11" s="10">
        <v>1.4142135623730951E-4</v>
      </c>
      <c r="T11" s="15">
        <f>M11/R11</f>
        <v>56.964149766983262</v>
      </c>
      <c r="U11" s="10">
        <f t="shared" si="8"/>
        <v>1.7446746944084708</v>
      </c>
      <c r="V11" s="15">
        <f>SUM($T$2:T11)</f>
        <v>634.17635406485431</v>
      </c>
      <c r="W11" s="10">
        <f>SQRT((U11^2)+(U10^2)+(U9^2)+(U8^2)+(U7^2)+(U6^2)+(U5^2)+(U4^2)+(U3^2)+(U2^2))</f>
        <v>5.7819187295584316</v>
      </c>
      <c r="X11" s="15">
        <f t="shared" si="9"/>
        <v>0.77452255633174938</v>
      </c>
      <c r="Y11" s="10">
        <f t="shared" si="10"/>
        <v>2.3721380284645214E-2</v>
      </c>
      <c r="Z11" s="10">
        <f t="shared" si="11"/>
        <v>5.6270388260875465E-4</v>
      </c>
      <c r="AA11" s="15">
        <f>(C11-$AE$6)*24</f>
        <v>127.66666666668607</v>
      </c>
      <c r="AB11" s="20">
        <f t="shared" si="12"/>
        <v>0.99964930447620548</v>
      </c>
      <c r="AC11" s="15">
        <f t="shared" si="13"/>
        <v>0.77479427321522754</v>
      </c>
    </row>
    <row r="12" spans="1:31" x14ac:dyDescent="0.25">
      <c r="A12" s="34" t="s">
        <v>26</v>
      </c>
      <c r="B12" s="31">
        <v>43305.490971643521</v>
      </c>
      <c r="C12" s="17">
        <v>43305.842361111114</v>
      </c>
      <c r="D12" s="16">
        <v>38.93</v>
      </c>
      <c r="E12" s="18">
        <v>2.96</v>
      </c>
      <c r="F12" s="10">
        <f t="shared" si="4"/>
        <v>1.152328</v>
      </c>
      <c r="G12" s="15">
        <f t="shared" si="0"/>
        <v>32.11</v>
      </c>
      <c r="H12" s="10">
        <f t="shared" si="14"/>
        <v>1.3231512008232469</v>
      </c>
      <c r="I12" s="19">
        <f t="shared" si="1"/>
        <v>8.4333472222206183</v>
      </c>
      <c r="J12" s="13">
        <f t="shared" si="5"/>
        <v>1.6666666666666666E-2</v>
      </c>
      <c r="K12" s="15">
        <f>1-EXP(-$AE$3*I12)</f>
        <v>9.08129325781315E-2</v>
      </c>
      <c r="L12" s="10">
        <f t="shared" si="6"/>
        <v>1.7947190319808192E-4</v>
      </c>
      <c r="M12" s="15">
        <f>G12/((1+K12))</f>
        <v>29.43676137402236</v>
      </c>
      <c r="N12" s="10">
        <f t="shared" si="2"/>
        <v>1.2143897647038355</v>
      </c>
      <c r="O12" s="15">
        <f>M12*K12</f>
        <v>2.6732386259776382</v>
      </c>
      <c r="P12" s="10">
        <f t="shared" si="3"/>
        <v>0.11040876603771883</v>
      </c>
      <c r="Q12" s="15">
        <f t="shared" si="7"/>
        <v>32.11</v>
      </c>
      <c r="R12" s="15">
        <v>0.79240000000000066</v>
      </c>
      <c r="S12" s="10">
        <v>1.4142135623730951E-4</v>
      </c>
      <c r="T12" s="15">
        <f>M12/R12</f>
        <v>37.148865943995879</v>
      </c>
      <c r="U12" s="10">
        <f t="shared" si="8"/>
        <v>1.5325607378820068</v>
      </c>
      <c r="V12" s="15">
        <f>SUM($T$2:T12)</f>
        <v>671.32522000885024</v>
      </c>
      <c r="W12" s="10">
        <f>SQRT((U12^2)+(U11^2)+(U10^2)+(U9^2)+(U8^2)+(U7^2)+(U6^2)+(U5^2)+(U4^2)+(U3^2)+(U2^2))</f>
        <v>5.9815822831852801</v>
      </c>
      <c r="X12" s="15">
        <f t="shared" si="9"/>
        <v>0.49061268956703935</v>
      </c>
      <c r="Y12" s="10">
        <f t="shared" si="10"/>
        <v>2.0239829411730591E-2</v>
      </c>
      <c r="Z12" s="10">
        <f t="shared" si="11"/>
        <v>4.0965069461595472E-4</v>
      </c>
      <c r="AA12" s="15">
        <f>(C12-$AE$6)*24</f>
        <v>128.21666666673264</v>
      </c>
      <c r="AB12" s="20">
        <f t="shared" si="12"/>
        <v>0.99964779391301817</v>
      </c>
      <c r="AC12" s="15">
        <f t="shared" si="13"/>
        <v>0.49078554722417439</v>
      </c>
    </row>
    <row r="13" spans="1:31" x14ac:dyDescent="0.25">
      <c r="A13" s="34" t="s">
        <v>27</v>
      </c>
      <c r="B13" s="31">
        <v>43305.491110474541</v>
      </c>
      <c r="C13" s="17">
        <v>43305.865277777775</v>
      </c>
      <c r="D13" s="16">
        <v>32.409999999999997</v>
      </c>
      <c r="E13" s="18">
        <v>3.24</v>
      </c>
      <c r="F13" s="10">
        <f t="shared" si="4"/>
        <v>1.050084</v>
      </c>
      <c r="G13" s="15">
        <f t="shared" si="0"/>
        <v>25.589999999999996</v>
      </c>
      <c r="H13" s="10">
        <f t="shared" si="14"/>
        <v>1.2351298262579526</v>
      </c>
      <c r="I13" s="19">
        <f t="shared" si="1"/>
        <v>8.9800152776297182</v>
      </c>
      <c r="J13" s="13">
        <f t="shared" si="5"/>
        <v>1.6666666666666666E-2</v>
      </c>
      <c r="K13" s="15">
        <f>1-EXP(-$AE$3*I13)</f>
        <v>9.6406574116903898E-2</v>
      </c>
      <c r="L13" s="10">
        <f t="shared" si="6"/>
        <v>1.789280068692535E-4</v>
      </c>
      <c r="M13" s="15">
        <f>G13/((1+K13))</f>
        <v>23.339881941707034</v>
      </c>
      <c r="N13" s="10">
        <f t="shared" si="2"/>
        <v>1.1273579221754089</v>
      </c>
      <c r="O13" s="15">
        <f>M13*K13</f>
        <v>2.2501180582929661</v>
      </c>
      <c r="P13" s="10">
        <f t="shared" si="3"/>
        <v>0.10876491894178821</v>
      </c>
      <c r="Q13" s="15">
        <f t="shared" si="7"/>
        <v>25.59</v>
      </c>
      <c r="R13" s="15">
        <v>0.81899999999999995</v>
      </c>
      <c r="S13" s="10">
        <v>1.4142135623730951E-4</v>
      </c>
      <c r="T13" s="15">
        <f>M13/R13</f>
        <v>28.498024348848638</v>
      </c>
      <c r="U13" s="10">
        <f t="shared" si="8"/>
        <v>1.3765141954243638</v>
      </c>
      <c r="V13" s="15">
        <f>SUM($T$2:T13)</f>
        <v>699.82324435769885</v>
      </c>
      <c r="W13" s="10">
        <f>SQRT((U13^2)+(U12^2)+(U11^2)+(U10^2)+(U9^2)+(U8^2)+(U7^2)+(U6^2)+(U5^2)+(U4^2)+(U3^2)+(U2^2))</f>
        <v>6.1379245629708432</v>
      </c>
      <c r="X13" s="15">
        <f t="shared" si="9"/>
        <v>0.38899803236178393</v>
      </c>
      <c r="Y13" s="10">
        <f t="shared" si="10"/>
        <v>1.8789298702923483E-2</v>
      </c>
      <c r="Z13" s="10">
        <f t="shared" si="11"/>
        <v>3.5303774574768209E-4</v>
      </c>
      <c r="AA13" s="15">
        <f>(C13-$AE$6)*24</f>
        <v>128.76666666660458</v>
      </c>
      <c r="AB13" s="20">
        <f t="shared" si="12"/>
        <v>0.99964628335211381</v>
      </c>
      <c r="AC13" s="15">
        <f t="shared" si="13"/>
        <v>0.38913567612871713</v>
      </c>
    </row>
    <row r="14" spans="1:31" x14ac:dyDescent="0.25">
      <c r="A14" s="34" t="s">
        <v>28</v>
      </c>
      <c r="B14" s="31">
        <v>43305.491249305553</v>
      </c>
      <c r="C14" s="17">
        <v>43305.888194444444</v>
      </c>
      <c r="D14" s="16">
        <v>24.63</v>
      </c>
      <c r="E14" s="18">
        <v>3.72</v>
      </c>
      <c r="F14" s="10">
        <f t="shared" si="4"/>
        <v>0.91623600000000005</v>
      </c>
      <c r="G14" s="15">
        <f t="shared" si="0"/>
        <v>17.809999999999999</v>
      </c>
      <c r="H14" s="10">
        <f t="shared" si="14"/>
        <v>1.1235469230753117</v>
      </c>
      <c r="I14" s="19">
        <f t="shared" si="1"/>
        <v>9.5266833333880641</v>
      </c>
      <c r="J14" s="13">
        <f t="shared" si="5"/>
        <v>1.6666666666666666E-2</v>
      </c>
      <c r="K14" s="15">
        <f>1-EXP(-$AE$3*I14)</f>
        <v>0.10196580159110558</v>
      </c>
      <c r="L14" s="10">
        <f t="shared" si="6"/>
        <v>1.783863247099284E-4</v>
      </c>
      <c r="M14" s="15">
        <f>G14/((1+K14))</f>
        <v>16.162026057691183</v>
      </c>
      <c r="N14" s="10">
        <f t="shared" si="2"/>
        <v>1.0199761872349904</v>
      </c>
      <c r="O14" s="15">
        <f>M14*K14</f>
        <v>1.6479739423088173</v>
      </c>
      <c r="P14" s="10">
        <f t="shared" si="3"/>
        <v>0.10404264321126895</v>
      </c>
      <c r="Q14" s="15">
        <f t="shared" si="7"/>
        <v>17.809999999999999</v>
      </c>
      <c r="R14" s="15">
        <v>0.80399999999999938</v>
      </c>
      <c r="S14" s="10">
        <v>1.4142135623730951E-4</v>
      </c>
      <c r="T14" s="15">
        <f>M14/R14</f>
        <v>20.102022459814918</v>
      </c>
      <c r="U14" s="10">
        <f t="shared" si="8"/>
        <v>1.2686320261184927</v>
      </c>
      <c r="V14" s="15">
        <f>SUM($T$2:T14)</f>
        <v>719.92526681751383</v>
      </c>
      <c r="W14" s="10">
        <f>SQRT((U14^2)+(U13^2)+(U12^2)+(U11^2)+(U10^2)+(U9^2)+(U8^2)+(U7^2)+(U6^2)+(U5^2)+(U4^2)+(U3^2)+(U2^2))</f>
        <v>6.2676586663932428</v>
      </c>
      <c r="X14" s="15">
        <f t="shared" si="9"/>
        <v>0.26936710096151972</v>
      </c>
      <c r="Y14" s="10">
        <f t="shared" si="10"/>
        <v>1.6999603120583174E-2</v>
      </c>
      <c r="Z14" s="10">
        <f t="shared" si="11"/>
        <v>2.889865062573412E-4</v>
      </c>
      <c r="AA14" s="15">
        <f>(C14-$AE$6)*24</f>
        <v>129.31666666665114</v>
      </c>
      <c r="AB14" s="20">
        <f t="shared" si="12"/>
        <v>0.99964477279349173</v>
      </c>
      <c r="AC14" s="15">
        <f t="shared" si="13"/>
        <v>0.26946282148685435</v>
      </c>
    </row>
    <row r="15" spans="1:31" x14ac:dyDescent="0.25">
      <c r="A15" s="34" t="s">
        <v>29</v>
      </c>
      <c r="B15" s="31">
        <v>43305.491388136572</v>
      </c>
      <c r="C15" s="17">
        <v>43305.911111111112</v>
      </c>
      <c r="D15" s="16">
        <v>17.64</v>
      </c>
      <c r="E15" s="18">
        <v>4.4000000000000004</v>
      </c>
      <c r="F15" s="10">
        <f t="shared" si="4"/>
        <v>0.77616000000000007</v>
      </c>
      <c r="G15" s="15">
        <f t="shared" si="0"/>
        <v>10.82</v>
      </c>
      <c r="H15" s="10">
        <f t="shared" si="14"/>
        <v>1.0125678378538399</v>
      </c>
      <c r="I15" s="19">
        <f t="shared" si="1"/>
        <v>10.073351388971787</v>
      </c>
      <c r="J15" s="13">
        <f t="shared" si="5"/>
        <v>1.6666666666666666E-2</v>
      </c>
      <c r="K15" s="15">
        <f>1-EXP(-$AE$3*I15)</f>
        <v>0.1074908267229544</v>
      </c>
      <c r="L15" s="10">
        <f t="shared" si="6"/>
        <v>1.7784684654972323E-4</v>
      </c>
      <c r="M15" s="15">
        <f>G15/((1+K15))</f>
        <v>9.7698326152426809</v>
      </c>
      <c r="N15" s="10">
        <f t="shared" si="2"/>
        <v>0.91443292650003261</v>
      </c>
      <c r="O15" s="15">
        <f>M15*K15</f>
        <v>1.0501673847573194</v>
      </c>
      <c r="P15" s="10">
        <f t="shared" si="3"/>
        <v>9.8308507298268177E-2</v>
      </c>
      <c r="Q15" s="15">
        <f t="shared" si="7"/>
        <v>10.82</v>
      </c>
      <c r="R15" s="15">
        <v>0.81740000000000013</v>
      </c>
      <c r="S15" s="10">
        <v>1.4142135623730951E-4</v>
      </c>
      <c r="T15" s="15">
        <f>M15/R15</f>
        <v>11.952327642821972</v>
      </c>
      <c r="U15" s="10">
        <f t="shared" si="8"/>
        <v>1.1187111435747696</v>
      </c>
      <c r="V15" s="15">
        <f>SUM($T$2:T15)</f>
        <v>731.87759446033579</v>
      </c>
      <c r="W15" s="10">
        <f>SQRT((U15^2)+(U14^2)+(U13^2)+(U12^2)+(U11^2)+(U10^2)+(U9^2)+(U8^2)+(U7^2)+(U6^2)+(U5^2)+(U4^2)+(U3^2)+(U2^2))</f>
        <v>6.3667149913572141</v>
      </c>
      <c r="X15" s="15">
        <f t="shared" si="9"/>
        <v>0.162830543587378</v>
      </c>
      <c r="Y15" s="10">
        <f t="shared" si="10"/>
        <v>1.5240548775000543E-2</v>
      </c>
      <c r="Z15" s="10">
        <f t="shared" si="11"/>
        <v>2.3227432696317055E-4</v>
      </c>
      <c r="AA15" s="15">
        <f>(C15-$AE$6)*24</f>
        <v>129.86666666669771</v>
      </c>
      <c r="AB15" s="20">
        <f t="shared" si="12"/>
        <v>0.99964326223715205</v>
      </c>
      <c r="AC15" s="15">
        <f t="shared" si="13"/>
        <v>0.16288865212072887</v>
      </c>
    </row>
    <row r="16" spans="1:31" x14ac:dyDescent="0.25">
      <c r="A16" s="34" t="s">
        <v>30</v>
      </c>
      <c r="B16" s="31">
        <v>43305.491526967591</v>
      </c>
      <c r="C16" s="17">
        <v>43305.933333333334</v>
      </c>
      <c r="D16" s="16">
        <v>14.09</v>
      </c>
      <c r="E16" s="18">
        <v>4.92</v>
      </c>
      <c r="F16" s="10">
        <f t="shared" si="4"/>
        <v>0.69322799999999996</v>
      </c>
      <c r="G16" s="15">
        <f t="shared" si="0"/>
        <v>7.27</v>
      </c>
      <c r="H16" s="10">
        <f t="shared" si="14"/>
        <v>0.95049163102049461</v>
      </c>
      <c r="I16" s="19">
        <f t="shared" si="1"/>
        <v>10.603352777834516</v>
      </c>
      <c r="J16" s="13">
        <f t="shared" si="5"/>
        <v>1.6666666666666666E-2</v>
      </c>
      <c r="K16" s="15">
        <f>1-EXP(-$AE$3*I16)</f>
        <v>0.11281495115272755</v>
      </c>
      <c r="L16" s="10">
        <f t="shared" si="6"/>
        <v>1.7732591051853968E-4</v>
      </c>
      <c r="M16" s="15">
        <f>G16/((1+K16))</f>
        <v>6.5329819593718179</v>
      </c>
      <c r="N16" s="10">
        <f t="shared" si="2"/>
        <v>0.85419441824847253</v>
      </c>
      <c r="O16" s="15">
        <f>M16*K16</f>
        <v>0.73701804062818199</v>
      </c>
      <c r="P16" s="10">
        <f t="shared" si="3"/>
        <v>9.6372864599217123E-2</v>
      </c>
      <c r="Q16" s="15">
        <f t="shared" si="7"/>
        <v>7.27</v>
      </c>
      <c r="R16" s="15">
        <v>0.79819999999999958</v>
      </c>
      <c r="S16" s="10">
        <v>1.4142135623730951E-4</v>
      </c>
      <c r="T16" s="15">
        <f>M16/R16</f>
        <v>8.1846428957301693</v>
      </c>
      <c r="U16" s="10">
        <f t="shared" si="8"/>
        <v>1.0701518447467187</v>
      </c>
      <c r="V16" s="15">
        <f>SUM($T$2:T16)</f>
        <v>740.06223735606591</v>
      </c>
      <c r="W16" s="10">
        <f>SQRT((U16^2)+(U15^2)+(U14^2)+(U13^2)+(U12^2)+(U11^2)+(U10^2)+(U9^2)+(U8^2)+(U7^2)+(U6^2)+(U5^2)+(U4^2)+(U3^2)+(U2^2))</f>
        <v>6.4560270098557906</v>
      </c>
      <c r="X16" s="15">
        <f t="shared" si="9"/>
        <v>0.10888303265619696</v>
      </c>
      <c r="Y16" s="10">
        <f t="shared" si="10"/>
        <v>1.4236573637474543E-2</v>
      </c>
      <c r="Z16" s="10">
        <f t="shared" si="11"/>
        <v>2.0268002893523513E-4</v>
      </c>
      <c r="AA16" s="15">
        <f>(C16-$AE$6)*24</f>
        <v>130.40000000002328</v>
      </c>
      <c r="AB16" s="20">
        <f t="shared" si="12"/>
        <v>0.99964179745742709</v>
      </c>
      <c r="AC16" s="15">
        <f t="shared" si="13"/>
        <v>0.10892204881102333</v>
      </c>
    </row>
    <row r="17" spans="1:29" x14ac:dyDescent="0.25">
      <c r="A17" s="34" t="s">
        <v>31</v>
      </c>
      <c r="B17" s="31">
        <v>43305.49166579861</v>
      </c>
      <c r="C17" s="17">
        <v>43305.956944444442</v>
      </c>
      <c r="D17" s="16">
        <v>12.41</v>
      </c>
      <c r="E17" s="18">
        <v>5.24</v>
      </c>
      <c r="F17" s="10">
        <f t="shared" si="4"/>
        <v>0.65028400000000008</v>
      </c>
      <c r="G17" s="15">
        <f t="shared" si="0"/>
        <v>5.59</v>
      </c>
      <c r="H17" s="10">
        <f t="shared" si="14"/>
        <v>0.91964045219422585</v>
      </c>
      <c r="I17" s="19">
        <f t="shared" si="1"/>
        <v>11.16668749996461</v>
      </c>
      <c r="J17" s="13">
        <f t="shared" si="5"/>
        <v>1.6666666666666666E-2</v>
      </c>
      <c r="K17" s="15">
        <f>1-EXP(-$AE$3*I17)</f>
        <v>0.1184391103683462</v>
      </c>
      <c r="L17" s="10">
        <f t="shared" si="6"/>
        <v>1.7677446179200645E-4</v>
      </c>
      <c r="M17" s="15">
        <f>G17/((1+K17))</f>
        <v>4.9980369500481716</v>
      </c>
      <c r="N17" s="10">
        <f t="shared" si="2"/>
        <v>0.82228731923642373</v>
      </c>
      <c r="O17" s="15">
        <f>M17*K17</f>
        <v>0.5919630499518278</v>
      </c>
      <c r="P17" s="10">
        <f t="shared" si="3"/>
        <v>9.7394986120105123E-2</v>
      </c>
      <c r="Q17" s="15">
        <f t="shared" si="7"/>
        <v>5.59</v>
      </c>
      <c r="R17" s="15">
        <v>0.80719999999999992</v>
      </c>
      <c r="S17" s="10">
        <v>1.4142135623731E-4</v>
      </c>
      <c r="T17" s="15">
        <f>M17/R17</f>
        <v>6.1918198092767245</v>
      </c>
      <c r="U17" s="10">
        <f t="shared" si="8"/>
        <v>1.0186915082755752</v>
      </c>
      <c r="V17" s="15">
        <f>SUM($T$2:T17)</f>
        <v>746.2540571653426</v>
      </c>
      <c r="W17" s="10">
        <f>SQRT((U17^2)+(U16^2)+(U15^2)+(U14^2)+(U13^2)+(U12^2)+(U11^2)+(U10^2)+(U9^2)+(U8^2)+(U7^2)+(U6^2)+(U5^2)+(U4^2)+(U3^2)+(U2^2))</f>
        <v>6.535902167338512</v>
      </c>
      <c r="X17" s="15">
        <f t="shared" si="9"/>
        <v>8.3300615834136199E-2</v>
      </c>
      <c r="Y17" s="10">
        <f>X17*SQRT(((N17/M17)^2))</f>
        <v>1.3704788653940397E-2</v>
      </c>
      <c r="Z17" s="10">
        <f>Y17^2</f>
        <v>1.8782123204917346E-4</v>
      </c>
      <c r="AA17" s="15">
        <f>(C17-$AE$6)*24</f>
        <v>130.96666666661622</v>
      </c>
      <c r="AB17" s="20">
        <f t="shared" si="12"/>
        <v>0.99964024113132122</v>
      </c>
      <c r="AC17" s="15">
        <f t="shared" si="13"/>
        <v>8.3330594754631462E-2</v>
      </c>
    </row>
    <row r="18" spans="1:29" x14ac:dyDescent="0.25">
      <c r="A18" s="34" t="s">
        <v>32</v>
      </c>
      <c r="B18" s="31">
        <v>43305.49180462963</v>
      </c>
      <c r="C18" s="17">
        <v>43305.979861111111</v>
      </c>
      <c r="D18" s="16">
        <v>10.37</v>
      </c>
      <c r="E18" s="18">
        <v>5.74</v>
      </c>
      <c r="F18" s="10">
        <f>D18*(E18/100)</f>
        <v>0.59523799999999993</v>
      </c>
      <c r="G18" s="15">
        <f t="shared" si="0"/>
        <v>3.5499999999999989</v>
      </c>
      <c r="H18" s="10">
        <f>SQRT((F18^2)+(F$17^2))</f>
        <v>0.88157674498593719</v>
      </c>
      <c r="I18" s="19">
        <f t="shared" si="1"/>
        <v>11.713355555548333</v>
      </c>
      <c r="J18" s="13">
        <f t="shared" si="5"/>
        <v>1.6666666666666666E-2</v>
      </c>
      <c r="K18" s="15">
        <f>1-EXP(-$AE$3*I18)</f>
        <v>0.12386278585765342</v>
      </c>
      <c r="L18" s="10">
        <f t="shared" si="6"/>
        <v>1.7624153510104772E-4</v>
      </c>
      <c r="M18" s="15">
        <f>G18/((1+K18))</f>
        <v>3.1587485987365325</v>
      </c>
      <c r="N18" s="10">
        <f t="shared" si="2"/>
        <v>0.78442958255853978</v>
      </c>
      <c r="O18" s="15">
        <f>M18*K18</f>
        <v>0.39125140126346591</v>
      </c>
      <c r="P18" s="10">
        <f t="shared" si="3"/>
        <v>9.7163228249159447E-2</v>
      </c>
      <c r="Q18" s="15">
        <f t="shared" si="7"/>
        <v>3.5499999999999985</v>
      </c>
      <c r="R18" s="15">
        <v>0.79530000000000012</v>
      </c>
      <c r="S18" s="10">
        <v>1.4142135623731E-4</v>
      </c>
      <c r="T18" s="15">
        <f>M18/R18</f>
        <v>3.9717698965629724</v>
      </c>
      <c r="U18" s="10">
        <f t="shared" si="8"/>
        <v>0.98633192966113181</v>
      </c>
      <c r="V18" s="15">
        <f>SUM($T$2:T18)</f>
        <v>750.22582706190553</v>
      </c>
      <c r="W18" s="10">
        <f>SQRT((U18^2)+(U17^2)+(U16^2)+(U15^2)+(U14^2)+(U13^2)+(U12^2)+(U11^2)+(U10^2)+(U9^2)+(U8^2)+(U7^2)+(U6^2)+(U5^2)+(U4^2)+(U3^2)+(U2^2))</f>
        <v>6.6099067933284292</v>
      </c>
      <c r="X18" s="15">
        <f t="shared" si="9"/>
        <v>5.2645809978942207E-2</v>
      </c>
      <c r="Y18" s="10">
        <f t="shared" ref="Y18:Y22" si="15">X18*SQRT(((N18/M18)^2))</f>
        <v>1.3073826375975662E-2</v>
      </c>
      <c r="Z18" s="10">
        <f t="shared" ref="Z18:Z22" si="16">Y18^2</f>
        <v>1.7092493610915691E-4</v>
      </c>
      <c r="AA18" s="15">
        <f>(C18-$AE$6)*24</f>
        <v>131.51666666666279</v>
      </c>
      <c r="AB18" s="20">
        <f t="shared" si="12"/>
        <v>0.99963873058182939</v>
      </c>
      <c r="AC18" s="15">
        <f t="shared" si="13"/>
        <v>5.2664836173664714E-2</v>
      </c>
    </row>
    <row r="19" spans="1:29" x14ac:dyDescent="0.25">
      <c r="A19" s="34" t="s">
        <v>33</v>
      </c>
      <c r="B19" s="31">
        <v>43305.491943460649</v>
      </c>
      <c r="C19" s="17">
        <v>43306.002083333333</v>
      </c>
      <c r="D19" s="16">
        <v>8.83</v>
      </c>
      <c r="E19" s="18">
        <v>6.21</v>
      </c>
      <c r="F19" s="10">
        <f t="shared" si="4"/>
        <v>0.54834300000000002</v>
      </c>
      <c r="G19" s="15">
        <f t="shared" si="0"/>
        <v>2.0099999999999998</v>
      </c>
      <c r="H19" s="10">
        <f>SQRT((F19^2)+(F$17^2))</f>
        <v>0.85061702681347739</v>
      </c>
      <c r="I19" s="19">
        <f t="shared" si="1"/>
        <v>12.243356944411062</v>
      </c>
      <c r="J19" s="13">
        <f t="shared" si="5"/>
        <v>1.6666666666666666E-2</v>
      </c>
      <c r="K19" s="15">
        <f>1-EXP(-$AE$3*I19)</f>
        <v>0.12908924591578508</v>
      </c>
      <c r="L19" s="10">
        <f t="shared" si="6"/>
        <v>1.7572692209319912E-4</v>
      </c>
      <c r="M19" s="15">
        <f>G19/((1+K19))</f>
        <v>1.7801958589816547</v>
      </c>
      <c r="N19" s="10">
        <f t="shared" si="2"/>
        <v>0.75336952380601863</v>
      </c>
      <c r="O19" s="15">
        <f>M19*K19</f>
        <v>0.22980414101834507</v>
      </c>
      <c r="P19" s="10">
        <f t="shared" si="3"/>
        <v>9.7252406857219614E-2</v>
      </c>
      <c r="Q19" s="15">
        <f t="shared" si="7"/>
        <v>2.0099999999999998</v>
      </c>
      <c r="R19" s="15">
        <v>0.81289999999999996</v>
      </c>
      <c r="S19" s="10">
        <v>1.4142135623731E-4</v>
      </c>
      <c r="T19" s="15">
        <f>M19/R19</f>
        <v>2.1899321675257162</v>
      </c>
      <c r="U19" s="10">
        <f t="shared" si="8"/>
        <v>0.92676785270520134</v>
      </c>
      <c r="V19" s="15">
        <f>SUM($T$2:T19)</f>
        <v>752.41575922943127</v>
      </c>
      <c r="W19" s="10">
        <f>SQRT((U19^2)+(U18^2)+(U17^2)+(U16^2)+(U15^2)+(U14^2)+(U13^2)+(U12^2)+(U11^2)+(U10^2)+(U9^2)+(U8^2)+(U7^2)+(U6^2)+(U5^2)+(U4^2)+(U3^2)+(U2^2))</f>
        <v>6.6745611443223085</v>
      </c>
      <c r="X19" s="15">
        <f t="shared" si="9"/>
        <v>2.9669930983027577E-2</v>
      </c>
      <c r="Y19" s="10">
        <f t="shared" si="15"/>
        <v>1.255615873010031E-2</v>
      </c>
      <c r="Z19" s="10">
        <f t="shared" si="16"/>
        <v>1.5765712205547422E-4</v>
      </c>
      <c r="AA19" s="15">
        <f>(C19-$AE$6)*24</f>
        <v>132.04999999998836</v>
      </c>
      <c r="AB19" s="20">
        <f t="shared" si="12"/>
        <v>0.99963726580874457</v>
      </c>
      <c r="AC19" s="15">
        <f t="shared" si="13"/>
        <v>2.9680697186717498E-2</v>
      </c>
    </row>
    <row r="20" spans="1:29" x14ac:dyDescent="0.25">
      <c r="A20" s="34" t="s">
        <v>34</v>
      </c>
      <c r="B20" s="31">
        <v>43305.492082291668</v>
      </c>
      <c r="C20" s="17">
        <v>43306.025000000001</v>
      </c>
      <c r="D20" s="16">
        <v>9.14</v>
      </c>
      <c r="E20" s="18">
        <v>6.11</v>
      </c>
      <c r="F20" s="10">
        <f t="shared" si="4"/>
        <v>0.55845400000000001</v>
      </c>
      <c r="G20" s="15">
        <f t="shared" si="0"/>
        <v>2.3200000000000003</v>
      </c>
      <c r="H20" s="10">
        <f t="shared" ref="H20:H22" si="17">SQRT((F20^2)+(F$17^2))</f>
        <v>0.85716984943008823</v>
      </c>
      <c r="I20" s="19">
        <f t="shared" si="1"/>
        <v>12.790024999994785</v>
      </c>
      <c r="J20" s="13">
        <f t="shared" si="5"/>
        <v>1.6666666666666666E-2</v>
      </c>
      <c r="K20" s="15">
        <f>1-EXP(-$AE$3*I20)</f>
        <v>0.13444739799110483</v>
      </c>
      <c r="L20" s="10">
        <f t="shared" si="6"/>
        <v>1.7519824758116794E-4</v>
      </c>
      <c r="M20" s="15">
        <f>G20/((1+K20))</f>
        <v>2.0450485444351925</v>
      </c>
      <c r="N20" s="10">
        <f t="shared" si="2"/>
        <v>0.75558829985395148</v>
      </c>
      <c r="O20" s="15">
        <f>M20*K20</f>
        <v>0.27495145556480793</v>
      </c>
      <c r="P20" s="10">
        <f t="shared" si="3"/>
        <v>0.10158751269431304</v>
      </c>
      <c r="Q20" s="15">
        <f t="shared" si="7"/>
        <v>2.3200000000000003</v>
      </c>
      <c r="R20" s="15">
        <v>0.79030000000000022</v>
      </c>
      <c r="S20" s="10">
        <v>1.4142135623731E-4</v>
      </c>
      <c r="T20" s="15">
        <f>M20/R20</f>
        <v>2.5876863778757331</v>
      </c>
      <c r="U20" s="10">
        <f t="shared" si="8"/>
        <v>0.95607793050137091</v>
      </c>
      <c r="V20" s="15">
        <f>SUM($T$2:T20)</f>
        <v>755.00344560730696</v>
      </c>
      <c r="W20" s="10">
        <f>SQRT((U20^2)+(U19^2)+(U18^2)+(U17^2)+(U16^2)+(U15^2)+(U14^2)+(U13^2)+(U12^2)+(U11^2)+(U10^2)+(U9^2)+(U8^2)+(U7^2)+(U6^2)+(U5^2)+(U4^2)+(U3^2)+(U2^2))</f>
        <v>6.7426887425187374</v>
      </c>
      <c r="X20" s="15">
        <f t="shared" si="9"/>
        <v>3.4084142407253208E-2</v>
      </c>
      <c r="Y20" s="10">
        <f t="shared" si="15"/>
        <v>1.259313833089919E-2</v>
      </c>
      <c r="Z20" s="10">
        <f t="shared" si="16"/>
        <v>1.5858713302116244E-4</v>
      </c>
      <c r="AA20" s="15">
        <f>(C20-$AE$6)*24</f>
        <v>132.60000000003492</v>
      </c>
      <c r="AB20" s="20">
        <f t="shared" si="12"/>
        <v>0.99963575526374882</v>
      </c>
      <c r="AC20" s="15">
        <f t="shared" si="13"/>
        <v>3.4096561900449712E-2</v>
      </c>
    </row>
    <row r="21" spans="1:29" x14ac:dyDescent="0.25">
      <c r="A21" s="34" t="s">
        <v>35</v>
      </c>
      <c r="B21" s="31">
        <v>43305.492221122688</v>
      </c>
      <c r="C21" s="17">
        <v>43306.04791666667</v>
      </c>
      <c r="D21" s="16">
        <v>8.9700000000000006</v>
      </c>
      <c r="E21" s="18">
        <v>6.17</v>
      </c>
      <c r="F21" s="10">
        <f t="shared" si="4"/>
        <v>0.55344899999999997</v>
      </c>
      <c r="G21" s="15">
        <f t="shared" si="0"/>
        <v>2.1500000000000004</v>
      </c>
      <c r="H21" s="10">
        <f t="shared" si="17"/>
        <v>0.85391748796766076</v>
      </c>
      <c r="I21" s="19">
        <f t="shared" si="1"/>
        <v>13.336693055578507</v>
      </c>
      <c r="J21" s="13">
        <f t="shared" si="5"/>
        <v>1.6666666666666666E-2</v>
      </c>
      <c r="K21" s="15">
        <f>1-EXP(-$AE$3*I21)</f>
        <v>0.13977258481306476</v>
      </c>
      <c r="L21" s="10">
        <f t="shared" si="6"/>
        <v>1.7467171738224404E-4</v>
      </c>
      <c r="M21" s="15">
        <f>G21/((1+K21))</f>
        <v>1.8863412128417036</v>
      </c>
      <c r="N21" s="10">
        <f t="shared" si="2"/>
        <v>0.74920359230856581</v>
      </c>
      <c r="O21" s="15">
        <f>M21*K21</f>
        <v>0.26365878715829649</v>
      </c>
      <c r="P21" s="10">
        <f t="shared" si="3"/>
        <v>0.10471864100973882</v>
      </c>
      <c r="Q21" s="15">
        <f t="shared" si="7"/>
        <v>2.1500000000000004</v>
      </c>
      <c r="R21" s="15">
        <v>0.81120000000000037</v>
      </c>
      <c r="S21" s="10">
        <v>1.4142135623731E-4</v>
      </c>
      <c r="T21" s="15">
        <f>M21/R21</f>
        <v>2.3253713176056494</v>
      </c>
      <c r="U21" s="10">
        <f t="shared" si="8"/>
        <v>0.92357453708484483</v>
      </c>
      <c r="V21" s="15">
        <f>SUM($T$2:T21)</f>
        <v>757.32881692491264</v>
      </c>
      <c r="W21" s="10">
        <f>SQRT((U21^2)+(U20^2)+(U19^2)+(U18^2)+(U17^2)+(U16^2)+(U15^2)+(U14^2)+(U13^2)+(U12^2)+(U11^2)+(U10^2)+(U9^2)+(U8^2)+(U7^2)+(U6^2)+(U5^2)+(U4^2)+(U3^2)+(U2^2))</f>
        <v>6.8056477578582042</v>
      </c>
      <c r="X21" s="15">
        <f t="shared" si="9"/>
        <v>3.1439020214028397E-2</v>
      </c>
      <c r="Y21" s="10">
        <f t="shared" si="15"/>
        <v>1.2486726538476099E-2</v>
      </c>
      <c r="Z21" s="10">
        <f t="shared" si="16"/>
        <v>1.5591833964668329E-4</v>
      </c>
      <c r="AA21" s="15">
        <f>(C21-$AE$6)*24</f>
        <v>133.15000000008149</v>
      </c>
      <c r="AB21" s="20">
        <f t="shared" si="12"/>
        <v>0.99963424472103557</v>
      </c>
      <c r="AC21" s="15">
        <f t="shared" si="13"/>
        <v>3.1450523408991432E-2</v>
      </c>
    </row>
    <row r="22" spans="1:29" ht="15.75" thickBot="1" x14ac:dyDescent="0.3">
      <c r="A22" s="35" t="s">
        <v>15</v>
      </c>
      <c r="B22" s="31">
        <v>43300.625</v>
      </c>
      <c r="C22" s="17">
        <v>43306.071527777778</v>
      </c>
      <c r="D22" s="16">
        <v>6.82</v>
      </c>
      <c r="E22" s="18">
        <v>7.07</v>
      </c>
      <c r="F22" s="10">
        <f t="shared" si="4"/>
        <v>0.48217399999999999</v>
      </c>
      <c r="G22" s="15">
        <f t="shared" si="0"/>
        <v>0</v>
      </c>
      <c r="H22" s="10">
        <f t="shared" si="17"/>
        <v>0.80954372762192417</v>
      </c>
      <c r="I22" s="19">
        <f>(C22-B22)*24</f>
        <v>130.71666666667443</v>
      </c>
      <c r="J22" s="13">
        <f t="shared" si="5"/>
        <v>1.6666666666666666E-2</v>
      </c>
      <c r="K22" s="15">
        <f>1-EXP(-$AE$3*I22)</f>
        <v>0.77137357602208068</v>
      </c>
      <c r="L22" s="10">
        <f t="shared" si="6"/>
        <v>9.8351852100221201E-5</v>
      </c>
      <c r="M22" s="15">
        <f>G22/((1+K22))</f>
        <v>0</v>
      </c>
      <c r="N22" s="10" t="e">
        <f t="shared" si="2"/>
        <v>#DIV/0!</v>
      </c>
      <c r="O22" s="15">
        <f>M22*K22</f>
        <v>0</v>
      </c>
      <c r="P22" s="10" t="e">
        <f t="shared" si="3"/>
        <v>#DIV/0!</v>
      </c>
      <c r="Q22" s="15">
        <f t="shared" si="7"/>
        <v>0</v>
      </c>
      <c r="R22" s="15"/>
      <c r="S22" s="10">
        <v>1.4142135623731E-4</v>
      </c>
      <c r="T22" s="15"/>
      <c r="U22" s="10" t="e">
        <f t="shared" si="8"/>
        <v>#DIV/0!</v>
      </c>
      <c r="V22" s="15"/>
      <c r="W22" s="15"/>
      <c r="X22" s="15"/>
      <c r="Y22" s="10" t="e">
        <f t="shared" si="15"/>
        <v>#DIV/0!</v>
      </c>
      <c r="Z22" s="10" t="e">
        <f t="shared" si="16"/>
        <v>#DIV/0!</v>
      </c>
      <c r="AA22" s="15"/>
      <c r="AB22" s="15"/>
      <c r="AC22" s="15"/>
    </row>
    <row r="23" spans="1:29" x14ac:dyDescent="0.25">
      <c r="W23" s="11" t="s">
        <v>147</v>
      </c>
      <c r="X23" s="7">
        <f>SUM(X2:X21)</f>
        <v>10.187718209526565</v>
      </c>
      <c r="Y23" s="11">
        <f>SQRT(SUM(Z2:Z21))</f>
        <v>9.2571641366761701E-2</v>
      </c>
      <c r="Z23" s="7"/>
      <c r="AB23" s="7"/>
      <c r="AC23">
        <f>SUM(AC2:AC21)</f>
        <v>10.191266679127532</v>
      </c>
    </row>
    <row r="29" spans="1:29" x14ac:dyDescent="0.25">
      <c r="G29" t="s">
        <v>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9:P35"/>
  <sheetViews>
    <sheetView zoomScale="85" zoomScaleNormal="85" workbookViewId="0">
      <selection activeCell="AA17" sqref="AA17"/>
    </sheetView>
  </sheetViews>
  <sheetFormatPr defaultRowHeight="15" x14ac:dyDescent="0.25"/>
  <cols>
    <col min="16" max="16" width="21.140625" bestFit="1" customWidth="1"/>
  </cols>
  <sheetData>
    <row r="29" spans="12:16" x14ac:dyDescent="0.25">
      <c r="O29" t="s">
        <v>101</v>
      </c>
      <c r="P29" t="s">
        <v>102</v>
      </c>
    </row>
    <row r="30" spans="12:16" x14ac:dyDescent="0.25">
      <c r="L30">
        <v>5.8</v>
      </c>
      <c r="M30">
        <v>300</v>
      </c>
      <c r="O30">
        <v>1</v>
      </c>
      <c r="P30">
        <v>5.8</v>
      </c>
    </row>
    <row r="31" spans="12:16" x14ac:dyDescent="0.25">
      <c r="L31">
        <v>6.6</v>
      </c>
      <c r="M31">
        <v>300</v>
      </c>
      <c r="O31">
        <v>2</v>
      </c>
      <c r="P31">
        <v>7.5</v>
      </c>
    </row>
    <row r="32" spans="12:16" x14ac:dyDescent="0.25">
      <c r="L32">
        <v>7.2</v>
      </c>
      <c r="M32">
        <v>300</v>
      </c>
      <c r="O32">
        <v>3</v>
      </c>
      <c r="P32">
        <v>6.6</v>
      </c>
    </row>
    <row r="33" spans="12:16" x14ac:dyDescent="0.25">
      <c r="L33">
        <v>7.5</v>
      </c>
      <c r="M33">
        <v>300</v>
      </c>
      <c r="O33">
        <v>4</v>
      </c>
      <c r="P33">
        <v>7.5</v>
      </c>
    </row>
    <row r="34" spans="12:16" x14ac:dyDescent="0.25">
      <c r="L34">
        <v>7.5</v>
      </c>
      <c r="M34">
        <v>300</v>
      </c>
      <c r="O34">
        <v>5</v>
      </c>
      <c r="P34">
        <v>7.2</v>
      </c>
    </row>
    <row r="35" spans="12:16" x14ac:dyDescent="0.25">
      <c r="L35">
        <v>8.1999999999999993</v>
      </c>
      <c r="M35">
        <v>300</v>
      </c>
      <c r="O35">
        <v>6</v>
      </c>
      <c r="P35">
        <v>8.1999999999999993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CT13</vt:lpstr>
      <vt:lpstr>CT14</vt:lpstr>
      <vt:lpstr>CT15</vt:lpstr>
      <vt:lpstr>CT16</vt:lpstr>
      <vt:lpstr>CT18</vt:lpstr>
      <vt:lpstr>CT17</vt:lpstr>
      <vt:lpstr>Graphs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2021-06-16T14:19:45Z</dcterms:modified>
</cp:coreProperties>
</file>